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'FR-01'!$A$1:$M$360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<sst xmlns="http://schemas.openxmlformats.org/spreadsheetml/2006/main" count="462" uniqueCount="85">
  <si>
    <t>%</t>
  </si>
  <si>
    <t>CUENTAS DE RESULTADOS</t>
  </si>
  <si>
    <t>CUENTAS DE BALANCE</t>
  </si>
  <si>
    <t>CONCEPTO</t>
  </si>
  <si>
    <t>PRESUPUESTO</t>
  </si>
  <si>
    <t>ELABORÓ:</t>
  </si>
  <si>
    <t>CUADRO RESUMEN DE LA SITUACIÓN FINANCIERA</t>
  </si>
  <si>
    <t>TOTALES:</t>
  </si>
  <si>
    <t>FUENTE DE FINANCIAMIENTO</t>
  </si>
  <si>
    <t>AVANCE %</t>
  </si>
  <si>
    <t xml:space="preserve">FIN. </t>
  </si>
  <si>
    <t>I  R  R  E  D  U  C  T  I  B  L  E  S</t>
  </si>
  <si>
    <t>APROBADO / MODIFICADO ANUAL</t>
  </si>
  <si>
    <t>INGRESOS Y OTROS BENEFICIOS ACUMULADOS</t>
  </si>
  <si>
    <t>GASTOS Y OTRAS PÉRDIDAS ACUMULADOS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</si>
  <si>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</si>
  <si>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</si>
  <si>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Impuestos</t>
  </si>
  <si>
    <t>Derechos</t>
  </si>
  <si>
    <t>Aprovechamientos</t>
  </si>
  <si>
    <t>Productos</t>
  </si>
  <si>
    <t>Ingresos por Ventas</t>
  </si>
  <si>
    <t>SALDOS EN CAJA Y BANCOS
(A)</t>
  </si>
  <si>
    <t>° DEUDORAS DE ACTIVO
(B)</t>
  </si>
  <si>
    <t xml:space="preserve">° ACREEDORAS DE PASIVO
( C ) </t>
  </si>
  <si>
    <t>DIFERENCIA
A+B-C = D</t>
  </si>
  <si>
    <t>MUNICIPIO DE: FRANCISCO I. MADERO, HGO.</t>
  </si>
  <si>
    <t xml:space="preserve">OTROS  </t>
  </si>
  <si>
    <t xml:space="preserve"> REVISÓ Y AUTORIZÓ</t>
  </si>
  <si>
    <t>REVISÓ</t>
  </si>
  <si>
    <t>TESORERO MUNICIPAL</t>
  </si>
  <si>
    <t>C.F.E.</t>
  </si>
  <si>
    <t xml:space="preserve">LAUDOS LABORALES </t>
  </si>
  <si>
    <t xml:space="preserve">EJERCICIOS ANTERIORES </t>
  </si>
  <si>
    <t>Formato : FR-01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</si>
  <si>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</si>
  <si>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</si>
  <si>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</si>
  <si>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</si>
  <si>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</si>
  <si>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</si>
  <si>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FOFIS 2020</t>
  </si>
  <si>
    <t>Colaboracion Fiscal</t>
  </si>
  <si>
    <t xml:space="preserve">OBRA PÚBLICA EJERCICOS ANTERIORES </t>
  </si>
  <si>
    <t>F.G.P 2021</t>
  </si>
  <si>
    <t>F.I.S.M. 2021</t>
  </si>
  <si>
    <t>FORTAMUN-DF 2021</t>
  </si>
  <si>
    <t>FOFIR 2021</t>
  </si>
  <si>
    <t>FFM 2021</t>
  </si>
  <si>
    <t>IEPS GASOLINAS 2021</t>
  </si>
  <si>
    <t>ISAN 2021</t>
  </si>
  <si>
    <t>COMPISAN 2021</t>
  </si>
  <si>
    <t>IEPS TABACOS 2021</t>
  </si>
  <si>
    <t>FEIEF 2021</t>
  </si>
  <si>
    <t xml:space="preserve">ACUMULADO </t>
  </si>
  <si>
    <t>I.S.R. 2021</t>
  </si>
  <si>
    <t xml:space="preserve">OBRA PÚBLICA (BENEFICIARIOS) EJERCICOS ANTERIORES </t>
  </si>
  <si>
    <t>PROAGUA FEDERAL 2021</t>
  </si>
  <si>
    <t>I.S.R. - E.B.I. 2021</t>
  </si>
  <si>
    <t>AL 31 DE ENERO DE 2022</t>
  </si>
  <si>
    <t>EJERCICIO FISCAL: 2022</t>
  </si>
  <si>
    <t>F.G.P 2022</t>
  </si>
  <si>
    <t>FFM 2022</t>
  </si>
  <si>
    <t>FOFYR 2022</t>
  </si>
  <si>
    <t>ISAN 2022</t>
  </si>
  <si>
    <t>IVF GASOLINAS 2022</t>
  </si>
  <si>
    <t>CISAN 2022</t>
  </si>
  <si>
    <t>I.S.R. - E.B.I. 2022</t>
  </si>
  <si>
    <t>F.I.S.M. 2022</t>
  </si>
  <si>
    <t>FORTAMUN-DF 2022</t>
  </si>
  <si>
    <t>I.S.R. 2022</t>
  </si>
  <si>
    <t>IEPS TABACOS 2022</t>
  </si>
  <si>
    <t>FOCOM 2022</t>
  </si>
  <si>
    <t>FEIEF 2022</t>
  </si>
  <si>
    <t>REPO 2021</t>
  </si>
  <si>
    <t>AL 28 DE FEBRERO DE 2022</t>
  </si>
  <si>
    <t>AL 31 DE MARZO DE 2022</t>
  </si>
  <si>
    <t>AL 30 DE ABRIL DE 2022</t>
  </si>
  <si>
    <t>COMPLETO / CORRECTO</t>
  </si>
  <si>
    <t>REVISADO</t>
  </si>
  <si>
    <t xml:space="preserve">PENDIENTE </t>
  </si>
  <si>
    <t>AL 31 DE MAYO DE 2022</t>
  </si>
  <si>
    <t>AL 30 DE JUNIO  DE 2022</t>
  </si>
  <si>
    <t>PROAGUA 2022</t>
  </si>
  <si>
    <t>FOCOM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</si>
</sst>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  <numFmt numFmtId="182" formatCode="0.0%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i/>
      <sz val="12"/>
      <color indexed="8"/>
      <name val="Arial Narrow"/>
      <family val="2"/>
    </font>
    <font>
      <sz val="8"/>
      <color indexed="62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sz val="8"/>
      <color theme="4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17" borderId="0" applyNumberFormat="0" applyBorder="0" applyAlignment="0" applyProtection="0"/>
    <xf numFmtId="0" fontId="41" fillId="27" borderId="0" applyNumberFormat="0" applyBorder="0" applyAlignment="0" applyProtection="0"/>
    <xf numFmtId="0" fontId="13" fillId="19" borderId="0" applyNumberFormat="0" applyBorder="0" applyAlignment="0" applyProtection="0"/>
    <xf numFmtId="0" fontId="41" fillId="28" borderId="0" applyNumberFormat="0" applyBorder="0" applyAlignment="0" applyProtection="0"/>
    <xf numFmtId="0" fontId="13" fillId="29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5" fillId="36" borderId="2" applyNumberFormat="0" applyAlignment="0" applyProtection="0"/>
    <xf numFmtId="0" fontId="44" fillId="37" borderId="3" applyNumberFormat="0" applyAlignment="0" applyProtection="0"/>
    <xf numFmtId="0" fontId="16" fillId="38" borderId="4" applyNumberFormat="0" applyAlignment="0" applyProtection="0"/>
    <xf numFmtId="0" fontId="45" fillId="0" borderId="5" applyNumberFormat="0" applyFill="0" applyAlignment="0" applyProtection="0"/>
    <xf numFmtId="0" fontId="17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3" fillId="40" borderId="0" applyNumberFormat="0" applyBorder="0" applyAlignment="0" applyProtection="0"/>
    <xf numFmtId="0" fontId="41" fillId="41" borderId="0" applyNumberFormat="0" applyBorder="0" applyAlignment="0" applyProtection="0"/>
    <xf numFmtId="0" fontId="13" fillId="42" borderId="0" applyNumberFormat="0" applyBorder="0" applyAlignment="0" applyProtection="0"/>
    <xf numFmtId="0" fontId="41" fillId="43" borderId="0" applyNumberFormat="0" applyBorder="0" applyAlignment="0" applyProtection="0"/>
    <xf numFmtId="0" fontId="13" fillId="44" borderId="0" applyNumberFormat="0" applyBorder="0" applyAlignment="0" applyProtection="0"/>
    <xf numFmtId="0" fontId="41" fillId="45" borderId="0" applyNumberFormat="0" applyBorder="0" applyAlignment="0" applyProtection="0"/>
    <xf numFmtId="0" fontId="13" fillId="29" borderId="0" applyNumberFormat="0" applyBorder="0" applyAlignment="0" applyProtection="0"/>
    <xf numFmtId="0" fontId="41" fillId="46" borderId="0" applyNumberFormat="0" applyBorder="0" applyAlignment="0" applyProtection="0"/>
    <xf numFmtId="0" fontId="13" fillId="31" borderId="0" applyNumberFormat="0" applyBorder="0" applyAlignment="0" applyProtection="0"/>
    <xf numFmtId="0" fontId="41" fillId="47" borderId="0" applyNumberFormat="0" applyBorder="0" applyAlignment="0" applyProtection="0"/>
    <xf numFmtId="0" fontId="13" fillId="48" borderId="0" applyNumberFormat="0" applyBorder="0" applyAlignment="0" applyProtection="0"/>
    <xf numFmtId="0" fontId="48" fillId="49" borderId="1" applyNumberFormat="0" applyAlignment="0" applyProtection="0"/>
    <xf numFmtId="0" fontId="19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2" fillId="36" borderId="11" applyNumberFormat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6" fillId="0" borderId="13" applyNumberFormat="0" applyFill="0" applyAlignment="0" applyProtection="0"/>
    <xf numFmtId="0" fontId="47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7" fillId="0" borderId="17" applyNumberFormat="0" applyFill="0" applyAlignment="0" applyProtection="0"/>
  </cellStyleXfs>
  <cellXfs count="129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4" fontId="4" fillId="0" borderId="0" xfId="87" applyFont="1" applyFill="1" applyAlignment="1">
      <alignment horizontal="center"/>
    </xf>
    <xf numFmtId="44" fontId="12" fillId="0" borderId="0" xfId="87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4" fontId="9" fillId="0" borderId="0" xfId="87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9" fillId="56" borderId="0" xfId="0" applyNumberFormat="1" applyFont="1" applyFill="1" applyAlignment="1">
      <alignment horizontal="center" wrapText="1"/>
    </xf>
    <xf numFmtId="9" fontId="60" fillId="0" borderId="18" xfId="118" applyFont="1" applyFill="1" applyBorder="1" applyAlignment="1">
      <alignment horizontal="center"/>
    </xf>
    <xf numFmtId="44" fontId="60" fillId="0" borderId="18" xfId="118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4" fontId="3" fillId="0" borderId="18" xfId="87" applyFont="1" applyFill="1" applyBorder="1" applyAlignment="1">
      <alignment horizontal="center"/>
    </xf>
    <xf numFmtId="0" fontId="59" fillId="56" borderId="0" xfId="0" applyFont="1" applyFill="1" applyAlignment="1">
      <alignment horizontal="center" wrapText="1"/>
    </xf>
    <xf numFmtId="0" fontId="9" fillId="56" borderId="0" xfId="0" applyFont="1" applyFill="1" applyAlignment="1">
      <alignment/>
    </xf>
    <xf numFmtId="44" fontId="9" fillId="56" borderId="0" xfId="0" applyNumberFormat="1" applyFont="1" applyFill="1" applyAlignment="1">
      <alignment/>
    </xf>
    <xf numFmtId="0" fontId="9" fillId="56" borderId="0" xfId="0" applyFont="1" applyFill="1" applyAlignment="1">
      <alignment horizontal="center"/>
    </xf>
    <xf numFmtId="0" fontId="5" fillId="56" borderId="18" xfId="0" applyFont="1" applyFill="1" applyBorder="1" applyAlignment="1">
      <alignment horizontal="center"/>
    </xf>
    <xf numFmtId="8" fontId="0" fillId="56" borderId="0" xfId="0" applyNumberFormat="1" applyFont="1" applyFill="1" applyAlignment="1">
      <alignment/>
    </xf>
    <xf numFmtId="44" fontId="61" fillId="56" borderId="0" xfId="87" applyFont="1" applyFill="1" applyAlignment="1">
      <alignment horizontal="center" wrapText="1"/>
    </xf>
    <xf numFmtId="9" fontId="7" fillId="56" borderId="18" xfId="0" applyNumberFormat="1" applyFont="1" applyFill="1" applyBorder="1" applyAlignment="1">
      <alignment horizontal="center"/>
    </xf>
    <xf numFmtId="0" fontId="10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4" fontId="3" fillId="56" borderId="0" xfId="0" applyNumberFormat="1" applyFont="1" applyFill="1" applyBorder="1" applyAlignment="1">
      <alignment horizontal="center"/>
    </xf>
    <xf numFmtId="44" fontId="7" fillId="56" borderId="0" xfId="87" applyFont="1" applyFill="1" applyAlignment="1">
      <alignment/>
    </xf>
    <xf numFmtId="0" fontId="10" fillId="56" borderId="0" xfId="0" applyFont="1" applyFill="1" applyAlignment="1">
      <alignment horizontal="center"/>
    </xf>
    <xf numFmtId="0" fontId="3" fillId="56" borderId="0" xfId="0" applyFont="1" applyFill="1" applyBorder="1" applyAlignment="1">
      <alignment/>
    </xf>
    <xf numFmtId="0" fontId="3" fillId="56" borderId="0" xfId="0" applyFont="1" applyFill="1" applyAlignment="1">
      <alignment horizontal="center"/>
    </xf>
    <xf numFmtId="44" fontId="3" fillId="56" borderId="0" xfId="87" applyFont="1" applyFill="1" applyAlignment="1">
      <alignment/>
    </xf>
    <xf numFmtId="44" fontId="62" fillId="56" borderId="0" xfId="87" applyFont="1" applyFill="1" applyAlignment="1">
      <alignment horizontal="center"/>
    </xf>
    <xf numFmtId="0" fontId="11" fillId="56" borderId="0" xfId="0" applyFont="1" applyFill="1" applyAlignment="1">
      <alignment/>
    </xf>
    <xf numFmtId="0" fontId="7" fillId="56" borderId="0" xfId="0" applyFont="1" applyFill="1" applyBorder="1" applyAlignment="1">
      <alignment horizontal="center"/>
    </xf>
    <xf numFmtId="44" fontId="9" fillId="56" borderId="0" xfId="87" applyFont="1" applyFill="1" applyAlignment="1">
      <alignment horizontal="center"/>
    </xf>
    <xf numFmtId="44" fontId="9" fillId="56" borderId="0" xfId="87" applyFont="1" applyFill="1" applyAlignment="1">
      <alignment/>
    </xf>
    <xf numFmtId="44" fontId="7" fillId="0" borderId="19" xfId="93" applyFont="1" applyFill="1" applyBorder="1" applyAlignment="1">
      <alignment horizontal="center"/>
    </xf>
    <xf numFmtId="0" fontId="6" fillId="56" borderId="0" xfId="0" applyFont="1" applyFill="1" applyBorder="1" applyAlignment="1">
      <alignment/>
    </xf>
    <xf numFmtId="44" fontId="9" fillId="56" borderId="0" xfId="0" applyNumberFormat="1" applyFont="1" applyFill="1" applyAlignment="1">
      <alignment horizontal="center"/>
    </xf>
    <xf numFmtId="44" fontId="5" fillId="56" borderId="0" xfId="93" applyFont="1" applyFill="1" applyBorder="1" applyAlignment="1">
      <alignment horizontal="center"/>
    </xf>
    <xf numFmtId="44" fontId="7" fillId="0" borderId="0" xfId="93" applyFont="1" applyFill="1" applyBorder="1" applyAlignment="1">
      <alignment horizontal="center"/>
    </xf>
    <xf numFmtId="9" fontId="7" fillId="5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3" fillId="0" borderId="0" xfId="87" applyFont="1" applyFill="1" applyBorder="1" applyAlignment="1">
      <alignment/>
    </xf>
    <xf numFmtId="44" fontId="60" fillId="0" borderId="0" xfId="118" applyNumberFormat="1" applyFont="1" applyFill="1" applyBorder="1" applyAlignment="1">
      <alignment horizontal="center"/>
    </xf>
    <xf numFmtId="44" fontId="3" fillId="0" borderId="0" xfId="87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/>
    </xf>
    <xf numFmtId="0" fontId="5" fillId="55" borderId="18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/>
    </xf>
    <xf numFmtId="44" fontId="7" fillId="57" borderId="18" xfId="93" applyFont="1" applyFill="1" applyBorder="1" applyAlignment="1">
      <alignment/>
    </xf>
    <xf numFmtId="44" fontId="7" fillId="57" borderId="18" xfId="87" applyFont="1" applyFill="1" applyBorder="1" applyAlignment="1">
      <alignment/>
    </xf>
    <xf numFmtId="0" fontId="3" fillId="58" borderId="18" xfId="0" applyFont="1" applyFill="1" applyBorder="1" applyAlignment="1">
      <alignment horizontal="left" vertical="center"/>
    </xf>
    <xf numFmtId="44" fontId="7" fillId="58" borderId="18" xfId="93" applyFont="1" applyFill="1" applyBorder="1" applyAlignment="1">
      <alignment/>
    </xf>
    <xf numFmtId="44" fontId="7" fillId="58" borderId="18" xfId="87" applyFont="1" applyFill="1" applyBorder="1" applyAlignment="1">
      <alignment/>
    </xf>
    <xf numFmtId="9" fontId="60" fillId="58" borderId="18" xfId="118" applyFont="1" applyFill="1" applyBorder="1" applyAlignment="1">
      <alignment horizontal="center"/>
    </xf>
    <xf numFmtId="0" fontId="63" fillId="0" borderId="0" xfId="0" applyFont="1" applyFill="1" applyAlignment="1">
      <alignment/>
    </xf>
    <xf numFmtId="9" fontId="3" fillId="58" borderId="18" xfId="0" applyNumberFormat="1" applyFont="1" applyFill="1" applyBorder="1" applyAlignment="1">
      <alignment horizontal="center"/>
    </xf>
    <xf numFmtId="0" fontId="6" fillId="57" borderId="0" xfId="0" applyFont="1" applyFill="1" applyAlignment="1">
      <alignment horizontal="center"/>
    </xf>
    <xf numFmtId="0" fontId="6" fillId="57" borderId="20" xfId="0" applyFont="1" applyFill="1" applyBorder="1" applyAlignment="1">
      <alignment horizontal="center"/>
    </xf>
    <xf numFmtId="44" fontId="7" fillId="58" borderId="19" xfId="93" applyFont="1" applyFill="1" applyBorder="1" applyAlignment="1">
      <alignment horizontal="center"/>
    </xf>
    <xf numFmtId="0" fontId="12" fillId="56" borderId="0" xfId="0" applyFont="1" applyFill="1" applyAlignment="1">
      <alignment/>
    </xf>
    <xf numFmtId="44" fontId="12" fillId="56" borderId="0" xfId="87" applyFont="1" applyFill="1" applyAlignment="1">
      <alignment/>
    </xf>
    <xf numFmtId="0" fontId="12" fillId="56" borderId="0" xfId="0" applyFont="1" applyFill="1" applyAlignment="1">
      <alignment horizontal="center"/>
    </xf>
    <xf numFmtId="0" fontId="4" fillId="56" borderId="0" xfId="0" applyFont="1" applyFill="1" applyAlignment="1">
      <alignment horizontal="left"/>
    </xf>
    <xf numFmtId="44" fontId="4" fillId="56" borderId="0" xfId="87" applyFont="1" applyFill="1" applyAlignment="1">
      <alignment horizontal="center"/>
    </xf>
    <xf numFmtId="0" fontId="4" fillId="56" borderId="0" xfId="0" applyFont="1" applyFill="1" applyAlignment="1">
      <alignment horizontal="center"/>
    </xf>
    <xf numFmtId="9" fontId="7" fillId="58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44" fontId="64" fillId="56" borderId="0" xfId="0" applyNumberFormat="1" applyFont="1" applyFill="1" applyBorder="1" applyAlignment="1">
      <alignment horizontal="center"/>
    </xf>
    <xf numFmtId="0" fontId="64" fillId="56" borderId="0" xfId="0" applyFont="1" applyFill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5" fillId="56" borderId="18" xfId="93" applyFont="1" applyFill="1" applyBorder="1" applyAlignment="1">
      <alignment horizontal="center"/>
    </xf>
    <xf numFmtId="44" fontId="7" fillId="0" borderId="21" xfId="93" applyFont="1" applyFill="1" applyBorder="1" applyAlignment="1">
      <alignment horizontal="center"/>
    </xf>
    <xf numFmtId="44" fontId="7" fillId="0" borderId="22" xfId="93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4" fontId="6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5" fillId="55" borderId="23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44" fontId="6" fillId="58" borderId="0" xfId="87" applyFont="1" applyFill="1" applyAlignment="1">
      <alignment horizontal="center"/>
    </xf>
    <xf numFmtId="44" fontId="6" fillId="16" borderId="0" xfId="87" applyFont="1" applyFill="1" applyAlignment="1">
      <alignment horizontal="center"/>
    </xf>
    <xf numFmtId="0" fontId="4" fillId="56" borderId="0" xfId="0" applyFont="1" applyFill="1" applyAlignment="1">
      <alignment horizontal="center"/>
    </xf>
    <xf numFmtId="0" fontId="65" fillId="56" borderId="0" xfId="101" applyFont="1" applyFill="1" applyAlignment="1">
      <alignment horizontal="center"/>
      <protection/>
    </xf>
    <xf numFmtId="0" fontId="66" fillId="56" borderId="0" xfId="101" applyFont="1" applyFill="1" applyAlignment="1">
      <alignment horizontal="center"/>
      <protection/>
    </xf>
    <xf numFmtId="0" fontId="5" fillId="56" borderId="21" xfId="0" applyFont="1" applyFill="1" applyBorder="1" applyAlignment="1">
      <alignment horizontal="center"/>
    </xf>
    <xf numFmtId="0" fontId="5" fillId="56" borderId="2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56" borderId="21" xfId="0" applyFont="1" applyFill="1" applyBorder="1" applyAlignment="1">
      <alignment horizontal="center" vertical="center"/>
    </xf>
    <xf numFmtId="0" fontId="5" fillId="56" borderId="22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44" fontId="6" fillId="0" borderId="25" xfId="87" applyFont="1" applyFill="1" applyBorder="1" applyAlignment="1">
      <alignment horizontal="center"/>
    </xf>
    <xf numFmtId="44" fontId="6" fillId="0" borderId="26" xfId="87" applyFont="1" applyFill="1" applyBorder="1" applyAlignment="1">
      <alignment horizontal="center"/>
    </xf>
    <xf numFmtId="44" fontId="6" fillId="0" borderId="27" xfId="87" applyFont="1" applyFill="1" applyBorder="1" applyAlignment="1">
      <alignment horizontal="center"/>
    </xf>
    <xf numFmtId="44" fontId="7" fillId="58" borderId="21" xfId="93" applyFont="1" applyFill="1" applyBorder="1" applyAlignment="1">
      <alignment horizontal="center"/>
    </xf>
    <xf numFmtId="44" fontId="7" fillId="58" borderId="22" xfId="93" applyFont="1" applyFill="1" applyBorder="1" applyAlignment="1">
      <alignment horizontal="center"/>
    </xf>
    <xf numFmtId="44" fontId="7" fillId="58" borderId="19" xfId="93" applyFont="1" applyFill="1" applyBorder="1" applyAlignment="1">
      <alignment horizontal="center"/>
    </xf>
    <xf numFmtId="44" fontId="6" fillId="58" borderId="28" xfId="87" applyFont="1" applyFill="1" applyBorder="1" applyAlignment="1">
      <alignment horizontal="center"/>
    </xf>
    <xf numFmtId="44" fontId="6" fillId="58" borderId="0" xfId="87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179</xdr:row>
      <xdr:rowOff>57150</xdr:rowOff>
    </xdr:from>
    <xdr:to>
      <xdr:col>1</xdr:col>
      <xdr:colOff>1609725</xdr:colOff>
      <xdr:row>302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239</xdr:row>
      <xdr:rowOff>76200</xdr:rowOff>
    </xdr:from>
    <xdr:to>
      <xdr:col>1</xdr:col>
      <xdr:colOff>1609725</xdr:colOff>
      <xdr:row>302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ADMINISTRACION%202020-2024\CUENTA%20P&#218;BLICA%202022\2DO%20%20TRIMESTRE%202022\OTROS_FIM_04_2021\COMPLEMENTO%20%201ER%20TRIM%202022\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ADMINISTRACION%202020-2024\CUENTA%20P&#218;BLICA%202022\2DO%20%20TRIMESTRE%202022\OTROS_FIM_04_2021\COMPLEMENTO%20%201ER%20TRIM%202022\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0"/>
  <sheetViews>
    <sheetView tabSelected="1" view="pageBreakPreview" zoomScaleSheetLayoutView="100" zoomScalePageLayoutView="0" workbookViewId="0" topLeftCell="A302">
      <selection activeCell="E319" sqref="E319"/>
    </sheetView>
  </sheetViews>
  <sheetFormatPr defaultColWidth="11.421875" defaultRowHeight="12.75"/>
  <cols>
    <col min="1" max="1" width="3.8515625" style="2" customWidth="1"/>
    <col min="2" max="2" width="37.57421875" style="2" customWidth="1"/>
    <col min="3" max="3" width="16.00390625" style="14" customWidth="1"/>
    <col min="4" max="4" width="13.421875" style="14" customWidth="1"/>
    <col min="5" max="5" width="14.57421875" style="14" customWidth="1"/>
    <col min="6" max="6" width="14.00390625" style="14" customWidth="1"/>
    <col min="7" max="7" width="11.00390625" style="14" hidden="1" customWidth="1"/>
    <col min="8" max="8" width="6.28125" style="15" customWidth="1"/>
    <col min="9" max="10" width="13.7109375" style="14" customWidth="1"/>
    <col min="11" max="11" width="14.421875" style="14" customWidth="1"/>
    <col min="12" max="12" width="17.421875" style="14" bestFit="1" customWidth="1"/>
    <col min="13" max="13" width="10.421875" style="15" customWidth="1"/>
    <col min="14" max="14" width="13.140625" style="2" bestFit="1" customWidth="1"/>
    <col min="15" max="15" width="12.28125" style="2" bestFit="1" customWidth="1"/>
    <col min="16" max="16384" width="11.421875" style="2" customWidth="1"/>
  </cols>
  <sheetData>
    <row r="1" spans="2:13" ht="16.5" hidden="1" thickBot="1">
      <c r="B1" s="117" t="s">
        <v>26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4.5" customHeight="1" hidden="1">
      <c r="B2" s="7"/>
      <c r="C2" s="5"/>
      <c r="D2" s="5"/>
      <c r="E2" s="5"/>
      <c r="F2" s="5"/>
      <c r="G2" s="5"/>
      <c r="H2" s="17"/>
      <c r="I2" s="5"/>
      <c r="J2" s="5"/>
      <c r="K2" s="5"/>
      <c r="L2" s="5"/>
      <c r="M2" s="17"/>
    </row>
    <row r="3" spans="2:13" ht="16.5" hidden="1" thickBot="1">
      <c r="B3" s="117" t="s">
        <v>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7.25" hidden="1" thickBot="1">
      <c r="B4" s="112" t="s">
        <v>60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2:13" ht="17.25" hidden="1" thickBot="1">
      <c r="B5" s="113" t="s">
        <v>59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2:13" ht="16.5" hidden="1" thickBot="1">
      <c r="B6" s="3" t="s">
        <v>15</v>
      </c>
      <c r="C6" s="4"/>
      <c r="D6" s="4"/>
      <c r="E6" s="4"/>
      <c r="F6" s="4"/>
      <c r="G6" s="4"/>
      <c r="H6" s="6"/>
      <c r="I6" s="4"/>
      <c r="J6" s="4"/>
      <c r="K6" s="4"/>
      <c r="L6" s="4"/>
      <c r="M6" s="6"/>
    </row>
    <row r="7" spans="3:12" ht="14.25" hidden="1" thickBot="1">
      <c r="C7" s="2"/>
      <c r="D7" s="104" t="s">
        <v>1</v>
      </c>
      <c r="E7" s="104"/>
      <c r="F7" s="105"/>
      <c r="G7" s="105"/>
      <c r="H7" s="105"/>
      <c r="I7" s="104" t="s">
        <v>2</v>
      </c>
      <c r="J7" s="104"/>
      <c r="K7" s="104"/>
      <c r="L7" s="104"/>
    </row>
    <row r="8" spans="2:13" ht="14.25" hidden="1" thickBot="1">
      <c r="B8" s="106" t="s">
        <v>8</v>
      </c>
      <c r="C8" s="108" t="s">
        <v>12</v>
      </c>
      <c r="D8" s="108" t="s">
        <v>13</v>
      </c>
      <c r="E8" s="108" t="s">
        <v>16</v>
      </c>
      <c r="F8" s="97" t="s">
        <v>14</v>
      </c>
      <c r="G8" s="58"/>
      <c r="H8" s="97" t="s">
        <v>0</v>
      </c>
      <c r="I8" s="97" t="s">
        <v>22</v>
      </c>
      <c r="J8" s="97" t="s">
        <v>23</v>
      </c>
      <c r="K8" s="97" t="s">
        <v>24</v>
      </c>
      <c r="L8" s="97" t="s">
        <v>25</v>
      </c>
      <c r="M8" s="59" t="s">
        <v>9</v>
      </c>
    </row>
    <row r="9" spans="2:13" ht="44.25" customHeight="1" hidden="1">
      <c r="B9" s="107"/>
      <c r="C9" s="108"/>
      <c r="D9" s="108"/>
      <c r="E9" s="108"/>
      <c r="F9" s="97"/>
      <c r="G9" s="58"/>
      <c r="H9" s="97"/>
      <c r="I9" s="97"/>
      <c r="J9" s="97"/>
      <c r="K9" s="97"/>
      <c r="L9" s="97"/>
      <c r="M9" s="1" t="s">
        <v>10</v>
      </c>
    </row>
    <row r="10" spans="2:13" ht="14.25" hidden="1" thickBot="1">
      <c r="B10" s="8" t="s">
        <v>35</v>
      </c>
      <c r="C10" s="9">
        <f>SUM(C11:C16)</f>
        <v>10977566.75</v>
      </c>
      <c r="D10" s="9">
        <f>SUM(D11:D16)</f>
        <v>1846779.36</v>
      </c>
      <c r="E10" s="9">
        <f>SUM(E11:E16)</f>
        <v>0</v>
      </c>
      <c r="F10" s="9">
        <f>SUM(F11:F16)</f>
        <v>412058.66</v>
      </c>
      <c r="G10" s="9">
        <f>D10+E10-F10</f>
        <v>1434720.7000000002</v>
      </c>
      <c r="H10" s="19">
        <f>F10/(D10+E10)</f>
        <v>0.22312284235188765</v>
      </c>
      <c r="I10" s="9">
        <f>SUM(I11:I16)</f>
        <v>1436512.9</v>
      </c>
      <c r="J10" s="9">
        <f>SUM(J11:J16)</f>
        <v>8120</v>
      </c>
      <c r="K10" s="9">
        <f>K11</f>
        <v>26040</v>
      </c>
      <c r="L10" s="9">
        <f>I10+J10-K10</f>
        <v>1418592.9</v>
      </c>
      <c r="M10" s="22">
        <f>F10/C10</f>
        <v>0.03753642946420708</v>
      </c>
    </row>
    <row r="11" spans="2:13" ht="14.25" hidden="1" thickBot="1">
      <c r="B11" s="11" t="s">
        <v>17</v>
      </c>
      <c r="C11" s="12">
        <v>3664251.75</v>
      </c>
      <c r="D11" s="12">
        <v>1232785</v>
      </c>
      <c r="E11" s="10">
        <v>0</v>
      </c>
      <c r="F11" s="12">
        <v>412058.66</v>
      </c>
      <c r="G11" s="10">
        <v>0</v>
      </c>
      <c r="H11" s="19"/>
      <c r="I11" s="12">
        <f>1161742.72+274770.18</f>
        <v>1436512.9</v>
      </c>
      <c r="J11" s="10">
        <v>8120</v>
      </c>
      <c r="K11" s="10">
        <f>17229+8811</f>
        <v>26040</v>
      </c>
      <c r="L11" s="10">
        <f>I11+J11-K11</f>
        <v>1418592.9</v>
      </c>
      <c r="M11" s="21"/>
    </row>
    <row r="12" spans="2:13" ht="14.25" hidden="1" thickBot="1">
      <c r="B12" s="11" t="s">
        <v>18</v>
      </c>
      <c r="C12" s="12">
        <v>5583543</v>
      </c>
      <c r="D12" s="12">
        <v>492396.56</v>
      </c>
      <c r="E12" s="10">
        <v>0</v>
      </c>
      <c r="F12" s="12">
        <v>0</v>
      </c>
      <c r="G12" s="10">
        <v>0</v>
      </c>
      <c r="H12" s="19"/>
      <c r="I12" s="12">
        <v>0</v>
      </c>
      <c r="J12" s="10">
        <v>0</v>
      </c>
      <c r="K12" s="10">
        <v>0</v>
      </c>
      <c r="L12" s="10">
        <v>0</v>
      </c>
      <c r="M12" s="21"/>
    </row>
    <row r="13" spans="2:13" ht="14.25" hidden="1" thickBot="1">
      <c r="B13" s="11" t="s">
        <v>19</v>
      </c>
      <c r="C13" s="12">
        <v>543559</v>
      </c>
      <c r="D13" s="12">
        <v>17600</v>
      </c>
      <c r="E13" s="10">
        <v>0</v>
      </c>
      <c r="F13" s="12">
        <v>0</v>
      </c>
      <c r="G13" s="10">
        <v>0</v>
      </c>
      <c r="H13" s="19"/>
      <c r="I13" s="12">
        <v>0</v>
      </c>
      <c r="J13" s="10">
        <v>0</v>
      </c>
      <c r="K13" s="10">
        <v>0</v>
      </c>
      <c r="L13" s="10">
        <v>0</v>
      </c>
      <c r="M13" s="21"/>
    </row>
    <row r="14" spans="2:13" ht="14.25" hidden="1" thickBot="1">
      <c r="B14" s="11" t="s">
        <v>20</v>
      </c>
      <c r="C14" s="12">
        <v>1186213</v>
      </c>
      <c r="D14" s="12">
        <v>103997.8</v>
      </c>
      <c r="E14" s="10">
        <v>0</v>
      </c>
      <c r="F14" s="12">
        <v>0</v>
      </c>
      <c r="G14" s="10">
        <v>0</v>
      </c>
      <c r="H14" s="19"/>
      <c r="I14" s="12">
        <v>0</v>
      </c>
      <c r="J14" s="10">
        <v>0</v>
      </c>
      <c r="K14" s="10">
        <v>0</v>
      </c>
      <c r="L14" s="10">
        <v>0</v>
      </c>
      <c r="M14" s="21"/>
    </row>
    <row r="15" spans="2:13" ht="14.25" hidden="1" thickBot="1">
      <c r="B15" s="11" t="s">
        <v>21</v>
      </c>
      <c r="C15" s="12">
        <v>0</v>
      </c>
      <c r="D15" s="12">
        <v>0</v>
      </c>
      <c r="E15" s="10">
        <v>0</v>
      </c>
      <c r="F15" s="12">
        <v>0</v>
      </c>
      <c r="G15" s="10">
        <v>0</v>
      </c>
      <c r="H15" s="19"/>
      <c r="I15" s="12">
        <v>0</v>
      </c>
      <c r="J15" s="10">
        <v>0</v>
      </c>
      <c r="K15" s="10">
        <v>0</v>
      </c>
      <c r="L15" s="10">
        <v>0</v>
      </c>
      <c r="M15" s="21"/>
    </row>
    <row r="16" spans="2:13" ht="14.25" hidden="1" thickBot="1">
      <c r="B16" s="11" t="s">
        <v>42</v>
      </c>
      <c r="C16" s="12">
        <v>0</v>
      </c>
      <c r="D16" s="12">
        <v>0</v>
      </c>
      <c r="E16" s="10">
        <v>0</v>
      </c>
      <c r="F16" s="12">
        <v>0</v>
      </c>
      <c r="G16" s="10">
        <v>0</v>
      </c>
      <c r="H16" s="19"/>
      <c r="I16" s="12">
        <v>0</v>
      </c>
      <c r="J16" s="10">
        <v>0</v>
      </c>
      <c r="K16" s="10">
        <v>0</v>
      </c>
      <c r="L16" s="10">
        <v>0</v>
      </c>
      <c r="M16" s="21"/>
    </row>
    <row r="17" spans="2:13" ht="14.25" hidden="1" thickBot="1">
      <c r="B17" s="8" t="s">
        <v>27</v>
      </c>
      <c r="C17" s="9">
        <f>SUM(C18:C29)</f>
        <v>93107361</v>
      </c>
      <c r="D17" s="9">
        <f>SUM(D18:D30)</f>
        <v>9159234.180000002</v>
      </c>
      <c r="E17" s="9">
        <f aca="true" t="shared" si="0" ref="E17:L17">SUM(E18:E29)</f>
        <v>0</v>
      </c>
      <c r="F17" s="9">
        <f>SUM(F18:F30)</f>
        <v>2577970.21</v>
      </c>
      <c r="G17" s="9">
        <f>D17+E17-F17</f>
        <v>6581263.970000002</v>
      </c>
      <c r="H17" s="19">
        <f aca="true" t="shared" si="1" ref="H17:H25">F17/(D17+E17)</f>
        <v>0.2814613273704942</v>
      </c>
      <c r="I17" s="9">
        <f>SUM(I18:I29)</f>
        <v>7188134.19</v>
      </c>
      <c r="J17" s="9">
        <f t="shared" si="0"/>
        <v>349353.5</v>
      </c>
      <c r="K17" s="9">
        <f t="shared" si="0"/>
        <v>606870.22</v>
      </c>
      <c r="L17" s="9">
        <f t="shared" si="0"/>
        <v>6930617.47</v>
      </c>
      <c r="M17" s="22">
        <f aca="true" t="shared" si="2" ref="M17:M29">F17/C17</f>
        <v>0.02768814605324277</v>
      </c>
    </row>
    <row r="18" spans="2:13" ht="14.25" hidden="1" thickBot="1">
      <c r="B18" s="11" t="s">
        <v>61</v>
      </c>
      <c r="C18" s="12">
        <v>31868879</v>
      </c>
      <c r="D18" s="12">
        <v>3033012.62</v>
      </c>
      <c r="E18" s="10">
        <v>0</v>
      </c>
      <c r="F18" s="12">
        <v>1728819</v>
      </c>
      <c r="G18" s="10">
        <f>D18+E18-F18</f>
        <v>1304193.62</v>
      </c>
      <c r="H18" s="19">
        <f t="shared" si="1"/>
        <v>0.570000595645395</v>
      </c>
      <c r="I18" s="12">
        <v>1479154.64</v>
      </c>
      <c r="J18" s="10">
        <v>0</v>
      </c>
      <c r="K18" s="10">
        <v>174961.02</v>
      </c>
      <c r="L18" s="10">
        <f>I18+J18-K18</f>
        <v>1304193.6199999999</v>
      </c>
      <c r="M18" s="21">
        <f t="shared" si="2"/>
        <v>0.05424787611763815</v>
      </c>
    </row>
    <row r="19" spans="2:13" ht="14.25" hidden="1" thickBot="1">
      <c r="B19" s="11" t="s">
        <v>62</v>
      </c>
      <c r="C19" s="12">
        <v>13235444</v>
      </c>
      <c r="D19" s="12">
        <v>1152461.27</v>
      </c>
      <c r="E19" s="10">
        <v>0</v>
      </c>
      <c r="F19" s="12">
        <v>0</v>
      </c>
      <c r="G19" s="10">
        <f aca="true" t="shared" si="3" ref="G19:G30">D19+E19-F19</f>
        <v>1152461.27</v>
      </c>
      <c r="H19" s="19">
        <f t="shared" si="1"/>
        <v>0</v>
      </c>
      <c r="I19" s="10">
        <v>1152461.27</v>
      </c>
      <c r="J19" s="10">
        <v>349353.5</v>
      </c>
      <c r="K19" s="10">
        <v>0</v>
      </c>
      <c r="L19" s="10">
        <f aca="true" t="shared" si="4" ref="L19:L30">I19+J19-K19</f>
        <v>1501814.77</v>
      </c>
      <c r="M19" s="21">
        <f t="shared" si="2"/>
        <v>0</v>
      </c>
    </row>
    <row r="20" spans="2:13" ht="14.25" hidden="1" thickBot="1">
      <c r="B20" s="11" t="s">
        <v>63</v>
      </c>
      <c r="C20" s="12">
        <v>1255332</v>
      </c>
      <c r="D20" s="12">
        <v>166827.75</v>
      </c>
      <c r="E20" s="10">
        <v>0</v>
      </c>
      <c r="F20" s="12">
        <v>0</v>
      </c>
      <c r="G20" s="10">
        <f t="shared" si="3"/>
        <v>166827.75</v>
      </c>
      <c r="H20" s="19">
        <f t="shared" si="1"/>
        <v>0</v>
      </c>
      <c r="I20" s="10">
        <v>166827.75</v>
      </c>
      <c r="J20" s="10">
        <v>0</v>
      </c>
      <c r="K20" s="10">
        <v>0</v>
      </c>
      <c r="L20" s="10">
        <f t="shared" si="4"/>
        <v>166827.75</v>
      </c>
      <c r="M20" s="21">
        <f t="shared" si="2"/>
        <v>0</v>
      </c>
    </row>
    <row r="21" spans="2:13" ht="14.25" hidden="1" thickBot="1">
      <c r="B21" s="11" t="s">
        <v>66</v>
      </c>
      <c r="C21" s="12">
        <v>54835</v>
      </c>
      <c r="D21" s="12">
        <v>4569.56</v>
      </c>
      <c r="E21" s="10">
        <v>0</v>
      </c>
      <c r="F21" s="12">
        <v>0</v>
      </c>
      <c r="G21" s="10">
        <f t="shared" si="3"/>
        <v>4569.56</v>
      </c>
      <c r="H21" s="19">
        <f t="shared" si="1"/>
        <v>0</v>
      </c>
      <c r="I21" s="10">
        <v>4569.56</v>
      </c>
      <c r="J21" s="10">
        <v>0</v>
      </c>
      <c r="K21" s="10">
        <v>0</v>
      </c>
      <c r="L21" s="10">
        <f t="shared" si="4"/>
        <v>4569.56</v>
      </c>
      <c r="M21" s="21">
        <f t="shared" si="2"/>
        <v>0</v>
      </c>
    </row>
    <row r="22" spans="2:13" ht="14.25" hidden="1" thickBot="1">
      <c r="B22" s="11" t="s">
        <v>64</v>
      </c>
      <c r="C22" s="12">
        <v>270270</v>
      </c>
      <c r="D22" s="12">
        <v>30130.24</v>
      </c>
      <c r="E22" s="10">
        <v>0</v>
      </c>
      <c r="F22" s="12">
        <v>0</v>
      </c>
      <c r="G22" s="10">
        <f t="shared" si="3"/>
        <v>30130.24</v>
      </c>
      <c r="H22" s="19">
        <f t="shared" si="1"/>
        <v>0</v>
      </c>
      <c r="I22" s="10">
        <v>30130.24</v>
      </c>
      <c r="J22" s="10">
        <v>0</v>
      </c>
      <c r="K22" s="10">
        <v>0</v>
      </c>
      <c r="L22" s="10">
        <f t="shared" si="4"/>
        <v>30130.24</v>
      </c>
      <c r="M22" s="21">
        <f t="shared" si="2"/>
        <v>0</v>
      </c>
    </row>
    <row r="23" spans="2:13" ht="14.25" hidden="1" thickBot="1">
      <c r="B23" s="11" t="s">
        <v>71</v>
      </c>
      <c r="C23" s="12">
        <v>510916</v>
      </c>
      <c r="D23" s="12">
        <v>39274.13</v>
      </c>
      <c r="E23" s="10">
        <v>0</v>
      </c>
      <c r="F23" s="12">
        <v>0</v>
      </c>
      <c r="G23" s="10">
        <f t="shared" si="3"/>
        <v>39274.13</v>
      </c>
      <c r="H23" s="19">
        <f t="shared" si="1"/>
        <v>0</v>
      </c>
      <c r="I23" s="10">
        <v>39274.13</v>
      </c>
      <c r="J23" s="10">
        <v>0</v>
      </c>
      <c r="K23" s="10">
        <v>0</v>
      </c>
      <c r="L23" s="10">
        <f t="shared" si="4"/>
        <v>39274.13</v>
      </c>
      <c r="M23" s="21">
        <f t="shared" si="2"/>
        <v>0</v>
      </c>
    </row>
    <row r="24" spans="2:13" ht="14.25" hidden="1" thickBot="1">
      <c r="B24" s="11" t="s">
        <v>65</v>
      </c>
      <c r="C24" s="12">
        <v>1292946</v>
      </c>
      <c r="D24" s="12">
        <v>63939.08</v>
      </c>
      <c r="E24" s="10">
        <v>0</v>
      </c>
      <c r="F24" s="12">
        <v>0</v>
      </c>
      <c r="G24" s="10">
        <f t="shared" si="3"/>
        <v>63939.08</v>
      </c>
      <c r="H24" s="19">
        <f t="shared" si="1"/>
        <v>0</v>
      </c>
      <c r="I24" s="10">
        <v>63939.08</v>
      </c>
      <c r="J24" s="10">
        <v>0</v>
      </c>
      <c r="K24" s="10">
        <v>0</v>
      </c>
      <c r="L24" s="10">
        <f t="shared" si="4"/>
        <v>63939.08</v>
      </c>
      <c r="M24" s="21">
        <f t="shared" si="2"/>
        <v>0</v>
      </c>
    </row>
    <row r="25" spans="2:13" ht="14.25" hidden="1" thickBot="1">
      <c r="B25" s="11" t="s">
        <v>67</v>
      </c>
      <c r="C25" s="12">
        <v>0</v>
      </c>
      <c r="D25" s="12">
        <v>17003.44</v>
      </c>
      <c r="E25" s="10">
        <v>0</v>
      </c>
      <c r="F25" s="12">
        <v>0</v>
      </c>
      <c r="G25" s="10">
        <f t="shared" si="3"/>
        <v>17003.44</v>
      </c>
      <c r="H25" s="19">
        <f t="shared" si="1"/>
        <v>0</v>
      </c>
      <c r="I25" s="10">
        <v>17003.44</v>
      </c>
      <c r="J25" s="10">
        <v>0</v>
      </c>
      <c r="K25" s="10">
        <v>0</v>
      </c>
      <c r="L25" s="10">
        <f t="shared" si="4"/>
        <v>17003.44</v>
      </c>
      <c r="M25" s="21">
        <v>0</v>
      </c>
    </row>
    <row r="26" spans="2:13" ht="14.25" hidden="1" thickBot="1">
      <c r="B26" s="11" t="s">
        <v>72</v>
      </c>
      <c r="C26" s="12">
        <v>1175368</v>
      </c>
      <c r="D26" s="12">
        <v>0</v>
      </c>
      <c r="E26" s="9">
        <v>0</v>
      </c>
      <c r="F26" s="12">
        <v>0</v>
      </c>
      <c r="G26" s="10">
        <v>0</v>
      </c>
      <c r="H26" s="19">
        <v>0</v>
      </c>
      <c r="I26" s="10">
        <v>0</v>
      </c>
      <c r="J26" s="10">
        <v>0</v>
      </c>
      <c r="K26" s="10">
        <v>0</v>
      </c>
      <c r="L26" s="10">
        <f t="shared" si="4"/>
        <v>0</v>
      </c>
      <c r="M26" s="21">
        <f t="shared" si="2"/>
        <v>0</v>
      </c>
    </row>
    <row r="27" spans="2:13" ht="14.25" hidden="1" thickBot="1">
      <c r="B27" s="11" t="s">
        <v>68</v>
      </c>
      <c r="C27" s="12">
        <v>14586232</v>
      </c>
      <c r="D27" s="12">
        <v>1458623.2</v>
      </c>
      <c r="E27" s="9"/>
      <c r="F27" s="12">
        <v>0</v>
      </c>
      <c r="G27" s="10">
        <f t="shared" si="3"/>
        <v>1458623.2</v>
      </c>
      <c r="H27" s="19">
        <f>F27/(D27+E27)</f>
        <v>0</v>
      </c>
      <c r="I27" s="10">
        <v>1458623.2</v>
      </c>
      <c r="J27" s="10">
        <v>0</v>
      </c>
      <c r="K27" s="10">
        <v>0</v>
      </c>
      <c r="L27" s="10">
        <f t="shared" si="4"/>
        <v>1458623.2</v>
      </c>
      <c r="M27" s="21">
        <f t="shared" si="2"/>
        <v>0</v>
      </c>
    </row>
    <row r="28" spans="2:13" ht="14.25" hidden="1" thickBot="1">
      <c r="B28" s="11" t="s">
        <v>69</v>
      </c>
      <c r="C28" s="12">
        <v>26857139</v>
      </c>
      <c r="D28" s="12">
        <v>2238094.89</v>
      </c>
      <c r="E28" s="9"/>
      <c r="F28" s="12">
        <v>849151.21</v>
      </c>
      <c r="G28" s="10">
        <f t="shared" si="3"/>
        <v>1388943.6800000002</v>
      </c>
      <c r="H28" s="19">
        <f>F28/(D28+E28)</f>
        <v>0.3794080464568685</v>
      </c>
      <c r="I28" s="10">
        <v>1820852.88</v>
      </c>
      <c r="J28" s="10">
        <v>0</v>
      </c>
      <c r="K28" s="10">
        <f>74435.7+357473.5</f>
        <v>431909.2</v>
      </c>
      <c r="L28" s="10">
        <f t="shared" si="4"/>
        <v>1388943.68</v>
      </c>
      <c r="M28" s="21">
        <f t="shared" si="2"/>
        <v>0.03161733682802178</v>
      </c>
    </row>
    <row r="29" spans="2:13" ht="14.25" hidden="1" thickBot="1">
      <c r="B29" s="11" t="s">
        <v>70</v>
      </c>
      <c r="C29" s="12">
        <v>2000000</v>
      </c>
      <c r="D29" s="12">
        <v>955298</v>
      </c>
      <c r="E29" s="9"/>
      <c r="F29" s="12">
        <v>0</v>
      </c>
      <c r="G29" s="10">
        <f t="shared" si="3"/>
        <v>955298</v>
      </c>
      <c r="H29" s="19">
        <v>0</v>
      </c>
      <c r="I29" s="10">
        <v>955298</v>
      </c>
      <c r="J29" s="10">
        <v>0</v>
      </c>
      <c r="K29" s="10">
        <v>0</v>
      </c>
      <c r="L29" s="10">
        <f t="shared" si="4"/>
        <v>955298</v>
      </c>
      <c r="M29" s="21">
        <f t="shared" si="2"/>
        <v>0</v>
      </c>
    </row>
    <row r="30" spans="2:13" ht="14.25" hidden="1" thickBot="1">
      <c r="B30" s="11" t="s">
        <v>73</v>
      </c>
      <c r="C30" s="12">
        <v>0</v>
      </c>
      <c r="D30" s="12">
        <v>0</v>
      </c>
      <c r="E30" s="10">
        <v>0</v>
      </c>
      <c r="F30" s="12">
        <v>0</v>
      </c>
      <c r="G30" s="10">
        <f t="shared" si="3"/>
        <v>0</v>
      </c>
      <c r="H30" s="19">
        <v>0</v>
      </c>
      <c r="I30" s="10">
        <v>0</v>
      </c>
      <c r="J30" s="10">
        <v>0</v>
      </c>
      <c r="K30" s="10">
        <v>0</v>
      </c>
      <c r="L30" s="10">
        <f t="shared" si="4"/>
        <v>0</v>
      </c>
      <c r="M30" s="22"/>
    </row>
    <row r="31" spans="2:13" ht="14.25" hidden="1" thickBot="1">
      <c r="B31" s="8" t="s">
        <v>33</v>
      </c>
      <c r="C31" s="9">
        <f>SUM(C46:C47)</f>
        <v>0</v>
      </c>
      <c r="D31" s="9">
        <f>SUM(D46:D48)</f>
        <v>0</v>
      </c>
      <c r="E31" s="9">
        <f>SUM(E32:E48)</f>
        <v>10765.800000000005</v>
      </c>
      <c r="F31" s="9">
        <f>SUM(F32:F48)</f>
        <v>3951834.0300000003</v>
      </c>
      <c r="G31" s="9">
        <f>D31+E31-F31</f>
        <v>-3941068.2300000004</v>
      </c>
      <c r="H31" s="20"/>
      <c r="I31" s="9">
        <f>SUM(I46:I48)</f>
        <v>711849.85</v>
      </c>
      <c r="J31" s="9">
        <f>SUM(J46:J48)</f>
        <v>0</v>
      </c>
      <c r="K31" s="9">
        <f>SUM(K46:K48)</f>
        <v>246647.89</v>
      </c>
      <c r="L31" s="9">
        <f>SUM(L46:L48)</f>
        <v>465201.95999999996</v>
      </c>
      <c r="M31" s="22">
        <v>0</v>
      </c>
    </row>
    <row r="32" spans="2:13" ht="14.25" hidden="1" thickBot="1">
      <c r="B32" s="11" t="s">
        <v>74</v>
      </c>
      <c r="C32" s="12">
        <v>0</v>
      </c>
      <c r="D32" s="12">
        <v>0</v>
      </c>
      <c r="E32" s="10">
        <v>1702.4</v>
      </c>
      <c r="F32" s="12">
        <v>100000</v>
      </c>
      <c r="G32" s="10">
        <f>D32+E32-F32</f>
        <v>-98297.6</v>
      </c>
      <c r="H32" s="19">
        <v>0.59</v>
      </c>
      <c r="I32" s="10">
        <v>588221.84</v>
      </c>
      <c r="J32" s="10">
        <v>8811</v>
      </c>
      <c r="K32" s="10">
        <v>0</v>
      </c>
      <c r="L32" s="10">
        <f>I32+J32-K32</f>
        <v>597032.84</v>
      </c>
      <c r="M32" s="22">
        <v>0</v>
      </c>
    </row>
    <row r="33" spans="2:13" ht="14.25" hidden="1" thickBot="1">
      <c r="B33" s="11" t="s">
        <v>44</v>
      </c>
      <c r="C33" s="12">
        <v>0</v>
      </c>
      <c r="D33" s="12">
        <v>0</v>
      </c>
      <c r="E33" s="10">
        <v>2625.81</v>
      </c>
      <c r="F33" s="12">
        <v>0</v>
      </c>
      <c r="G33" s="10">
        <f aca="true" t="shared" si="5" ref="G33:G48">D33+E33-F33</f>
        <v>2625.81</v>
      </c>
      <c r="H33" s="19">
        <f>F33/(D33+E33)</f>
        <v>0</v>
      </c>
      <c r="I33" s="10">
        <v>69281.16</v>
      </c>
      <c r="J33" s="10">
        <v>255901.15</v>
      </c>
      <c r="K33" s="10">
        <v>0</v>
      </c>
      <c r="L33" s="10">
        <f aca="true" t="shared" si="6" ref="L33:L48">I33+J33-K33</f>
        <v>325182.31</v>
      </c>
      <c r="M33" s="22">
        <v>0</v>
      </c>
    </row>
    <row r="34" spans="2:13" ht="14.25" hidden="1" thickBot="1">
      <c r="B34" s="11" t="s">
        <v>45</v>
      </c>
      <c r="C34" s="12">
        <v>0</v>
      </c>
      <c r="D34" s="12">
        <v>0</v>
      </c>
      <c r="E34" s="10">
        <v>999.98</v>
      </c>
      <c r="F34" s="12">
        <v>1558626.45</v>
      </c>
      <c r="G34" s="10">
        <f t="shared" si="5"/>
        <v>-1557626.47</v>
      </c>
      <c r="H34" s="19">
        <v>0.16</v>
      </c>
      <c r="I34" s="10">
        <v>988179.09</v>
      </c>
      <c r="J34" s="10">
        <v>0</v>
      </c>
      <c r="K34" s="10">
        <f>139647.88+52615.44</f>
        <v>192263.32</v>
      </c>
      <c r="L34" s="10">
        <f t="shared" si="6"/>
        <v>795915.77</v>
      </c>
      <c r="M34" s="22">
        <v>0</v>
      </c>
    </row>
    <row r="35" spans="2:13" ht="14.25" hidden="1" thickBot="1">
      <c r="B35" s="11" t="s">
        <v>46</v>
      </c>
      <c r="C35" s="12">
        <v>0</v>
      </c>
      <c r="D35" s="12">
        <v>0</v>
      </c>
      <c r="E35" s="10">
        <v>4327.1</v>
      </c>
      <c r="F35" s="12">
        <v>0</v>
      </c>
      <c r="G35" s="10">
        <f t="shared" si="5"/>
        <v>4327.1</v>
      </c>
      <c r="H35" s="19">
        <f>F35/(D35+E35)</f>
        <v>0</v>
      </c>
      <c r="I35" s="10">
        <v>91115.42</v>
      </c>
      <c r="J35" s="10">
        <v>0</v>
      </c>
      <c r="K35" s="10">
        <v>0</v>
      </c>
      <c r="L35" s="10">
        <f t="shared" si="6"/>
        <v>91115.42</v>
      </c>
      <c r="M35" s="22">
        <v>0</v>
      </c>
    </row>
    <row r="36" spans="2:13" ht="14.25" hidden="1" thickBot="1">
      <c r="B36" s="11" t="s">
        <v>47</v>
      </c>
      <c r="C36" s="12">
        <v>0</v>
      </c>
      <c r="D36" s="12">
        <v>0</v>
      </c>
      <c r="E36" s="10">
        <v>176.93</v>
      </c>
      <c r="F36" s="12">
        <v>0</v>
      </c>
      <c r="G36" s="10">
        <f t="shared" si="5"/>
        <v>176.93</v>
      </c>
      <c r="H36" s="19">
        <f>F36/(D36+E36)</f>
        <v>0</v>
      </c>
      <c r="I36" s="10">
        <v>106301.36</v>
      </c>
      <c r="J36" s="10">
        <v>0</v>
      </c>
      <c r="K36" s="10">
        <v>8843.68</v>
      </c>
      <c r="L36" s="10">
        <f t="shared" si="6"/>
        <v>97457.68</v>
      </c>
      <c r="M36" s="22">
        <v>0</v>
      </c>
    </row>
    <row r="37" spans="2:13" ht="14.25" hidden="1" thickBot="1">
      <c r="B37" s="11" t="s">
        <v>48</v>
      </c>
      <c r="C37" s="12">
        <v>0</v>
      </c>
      <c r="D37" s="12">
        <v>0</v>
      </c>
      <c r="E37" s="10">
        <v>0</v>
      </c>
      <c r="F37" s="12">
        <v>1999833.58</v>
      </c>
      <c r="G37" s="10">
        <f t="shared" si="5"/>
        <v>-1999833.58</v>
      </c>
      <c r="H37" s="19">
        <v>0</v>
      </c>
      <c r="I37" s="10">
        <v>1740260.83</v>
      </c>
      <c r="J37" s="10">
        <v>0</v>
      </c>
      <c r="K37" s="10">
        <f>7174.67+14349.35+43500</f>
        <v>65024.020000000004</v>
      </c>
      <c r="L37" s="10">
        <f t="shared" si="6"/>
        <v>1675236.81</v>
      </c>
      <c r="M37" s="22">
        <v>0</v>
      </c>
    </row>
    <row r="38" spans="2:13" ht="14.25" hidden="1" thickBot="1">
      <c r="B38" s="11" t="s">
        <v>49</v>
      </c>
      <c r="C38" s="12">
        <v>0</v>
      </c>
      <c r="D38" s="12">
        <v>0</v>
      </c>
      <c r="E38" s="10">
        <v>77.04</v>
      </c>
      <c r="F38" s="12">
        <v>284200</v>
      </c>
      <c r="G38" s="10">
        <f t="shared" si="5"/>
        <v>-284122.96</v>
      </c>
      <c r="H38" s="19">
        <v>0.36</v>
      </c>
      <c r="I38" s="10">
        <v>22797.84</v>
      </c>
      <c r="J38" s="10">
        <v>0</v>
      </c>
      <c r="K38" s="10">
        <v>0</v>
      </c>
      <c r="L38" s="10">
        <f t="shared" si="6"/>
        <v>22797.84</v>
      </c>
      <c r="M38" s="22">
        <v>0</v>
      </c>
    </row>
    <row r="39" spans="2:13" ht="14.25" hidden="1" thickBot="1">
      <c r="B39" s="11" t="s">
        <v>50</v>
      </c>
      <c r="C39" s="12">
        <v>0</v>
      </c>
      <c r="D39" s="12">
        <v>0</v>
      </c>
      <c r="E39" s="10">
        <v>46.65</v>
      </c>
      <c r="F39" s="12">
        <v>0</v>
      </c>
      <c r="G39" s="10">
        <f t="shared" si="5"/>
        <v>46.65</v>
      </c>
      <c r="H39" s="19">
        <f>F39/(D39+E39)</f>
        <v>0</v>
      </c>
      <c r="I39" s="10">
        <v>47951.76</v>
      </c>
      <c r="J39" s="10">
        <v>0</v>
      </c>
      <c r="K39" s="10">
        <v>0</v>
      </c>
      <c r="L39" s="10">
        <f t="shared" si="6"/>
        <v>47951.76</v>
      </c>
      <c r="M39" s="22">
        <v>0</v>
      </c>
    </row>
    <row r="40" spans="2:13" ht="14.25" hidden="1" thickBot="1">
      <c r="B40" s="11" t="s">
        <v>51</v>
      </c>
      <c r="C40" s="12">
        <v>0</v>
      </c>
      <c r="D40" s="12">
        <v>0</v>
      </c>
      <c r="E40" s="10">
        <v>4.54</v>
      </c>
      <c r="F40" s="12">
        <v>0</v>
      </c>
      <c r="G40" s="10">
        <f t="shared" si="5"/>
        <v>4.54</v>
      </c>
      <c r="H40" s="19">
        <f>F40/(D40+E40)</f>
        <v>0</v>
      </c>
      <c r="I40" s="10">
        <v>20670.45</v>
      </c>
      <c r="J40" s="10">
        <v>0</v>
      </c>
      <c r="K40" s="10">
        <v>0</v>
      </c>
      <c r="L40" s="10">
        <f t="shared" si="6"/>
        <v>20670.45</v>
      </c>
      <c r="M40" s="22">
        <v>0</v>
      </c>
    </row>
    <row r="41" spans="2:13" ht="14.25" hidden="1" thickBot="1">
      <c r="B41" s="11" t="s">
        <v>52</v>
      </c>
      <c r="C41" s="12">
        <v>0</v>
      </c>
      <c r="D41" s="12">
        <v>0</v>
      </c>
      <c r="E41" s="10">
        <v>97.95</v>
      </c>
      <c r="F41" s="12">
        <v>0</v>
      </c>
      <c r="G41" s="10">
        <f t="shared" si="5"/>
        <v>97.95</v>
      </c>
      <c r="H41" s="19">
        <f>F41/(D41+E41)</f>
        <v>0</v>
      </c>
      <c r="I41" s="10">
        <v>30476.11</v>
      </c>
      <c r="J41" s="10">
        <v>0</v>
      </c>
      <c r="K41" s="10">
        <v>251661.15</v>
      </c>
      <c r="L41" s="10">
        <f t="shared" si="6"/>
        <v>-221185.03999999998</v>
      </c>
      <c r="M41" s="22">
        <v>0</v>
      </c>
    </row>
    <row r="42" spans="2:13" ht="14.25" hidden="1" thickBot="1">
      <c r="B42" s="11" t="s">
        <v>53</v>
      </c>
      <c r="C42" s="12">
        <v>0</v>
      </c>
      <c r="D42" s="12">
        <v>0</v>
      </c>
      <c r="E42" s="10">
        <v>0</v>
      </c>
      <c r="F42" s="12">
        <v>9174</v>
      </c>
      <c r="G42" s="10">
        <f t="shared" si="5"/>
        <v>-9174</v>
      </c>
      <c r="H42" s="19">
        <v>0</v>
      </c>
      <c r="I42" s="10">
        <v>125361.26</v>
      </c>
      <c r="J42" s="10">
        <v>0</v>
      </c>
      <c r="K42" s="10">
        <v>0</v>
      </c>
      <c r="L42" s="10">
        <f t="shared" si="6"/>
        <v>125361.26</v>
      </c>
      <c r="M42" s="22">
        <v>0</v>
      </c>
    </row>
    <row r="43" spans="2:13" ht="14.25" hidden="1" thickBot="1">
      <c r="B43" s="11" t="s">
        <v>55</v>
      </c>
      <c r="C43" s="12">
        <v>0</v>
      </c>
      <c r="D43" s="12">
        <v>0</v>
      </c>
      <c r="E43" s="10">
        <v>432.35</v>
      </c>
      <c r="F43" s="12">
        <v>0</v>
      </c>
      <c r="G43" s="10">
        <f t="shared" si="5"/>
        <v>432.35</v>
      </c>
      <c r="H43" s="19">
        <f>F43/(D43+E43)</f>
        <v>0</v>
      </c>
      <c r="I43" s="10">
        <v>1115016.03</v>
      </c>
      <c r="J43" s="10">
        <v>0</v>
      </c>
      <c r="K43" s="10">
        <v>0</v>
      </c>
      <c r="L43" s="10">
        <f t="shared" si="6"/>
        <v>1115016.03</v>
      </c>
      <c r="M43" s="22">
        <v>0</v>
      </c>
    </row>
    <row r="44" spans="2:13" ht="14.25" hidden="1" thickBot="1">
      <c r="B44" s="11" t="s">
        <v>57</v>
      </c>
      <c r="C44" s="12">
        <v>0</v>
      </c>
      <c r="D44" s="12">
        <v>0</v>
      </c>
      <c r="E44" s="10">
        <v>0</v>
      </c>
      <c r="F44" s="12">
        <v>0</v>
      </c>
      <c r="G44" s="10">
        <f t="shared" si="5"/>
        <v>0</v>
      </c>
      <c r="H44" s="19">
        <v>0</v>
      </c>
      <c r="I44" s="10">
        <v>29758.83</v>
      </c>
      <c r="J44" s="10">
        <v>0</v>
      </c>
      <c r="K44" s="10">
        <v>28694.67</v>
      </c>
      <c r="L44" s="10">
        <f t="shared" si="6"/>
        <v>1064.1600000000035</v>
      </c>
      <c r="M44" s="22">
        <v>0</v>
      </c>
    </row>
    <row r="45" spans="2:13" ht="14.25" hidden="1" thickBot="1">
      <c r="B45" s="11" t="s">
        <v>58</v>
      </c>
      <c r="C45" s="12">
        <v>0</v>
      </c>
      <c r="D45" s="12">
        <v>0</v>
      </c>
      <c r="E45" s="10">
        <v>0</v>
      </c>
      <c r="F45" s="12">
        <v>0</v>
      </c>
      <c r="G45" s="10">
        <f t="shared" si="5"/>
        <v>0</v>
      </c>
      <c r="H45" s="19">
        <v>0</v>
      </c>
      <c r="I45" s="10">
        <v>156669.86</v>
      </c>
      <c r="J45" s="10">
        <v>0</v>
      </c>
      <c r="K45" s="10">
        <v>0</v>
      </c>
      <c r="L45" s="10">
        <f t="shared" si="6"/>
        <v>156669.86</v>
      </c>
      <c r="M45" s="22">
        <v>0</v>
      </c>
    </row>
    <row r="46" spans="2:13" ht="14.25" hidden="1" thickBot="1">
      <c r="B46" s="11" t="s">
        <v>41</v>
      </c>
      <c r="C46" s="12">
        <v>0</v>
      </c>
      <c r="D46" s="12">
        <v>0</v>
      </c>
      <c r="E46" s="10">
        <v>8.44</v>
      </c>
      <c r="F46" s="12">
        <v>0</v>
      </c>
      <c r="G46" s="10">
        <f t="shared" si="5"/>
        <v>8.44</v>
      </c>
      <c r="H46" s="19">
        <v>0</v>
      </c>
      <c r="I46" s="10">
        <v>35524.65</v>
      </c>
      <c r="J46" s="10">
        <v>0</v>
      </c>
      <c r="K46" s="10">
        <v>0</v>
      </c>
      <c r="L46" s="10">
        <f t="shared" si="6"/>
        <v>35524.65</v>
      </c>
      <c r="M46" s="22">
        <v>0</v>
      </c>
    </row>
    <row r="47" spans="2:13" ht="14.25" hidden="1" thickBot="1">
      <c r="B47" s="11" t="s">
        <v>56</v>
      </c>
      <c r="C47" s="12">
        <v>0</v>
      </c>
      <c r="D47" s="12">
        <v>0</v>
      </c>
      <c r="E47" s="10">
        <f>37.64+17.21</f>
        <v>54.85</v>
      </c>
      <c r="F47" s="12">
        <v>0</v>
      </c>
      <c r="G47" s="10">
        <f t="shared" si="5"/>
        <v>54.85</v>
      </c>
      <c r="H47" s="19">
        <f>F47/(D47+E47)</f>
        <v>0</v>
      </c>
      <c r="I47" s="10">
        <f>113125.28+115.58+51755.94</f>
        <v>164996.8</v>
      </c>
      <c r="J47" s="10">
        <v>0</v>
      </c>
      <c r="K47" s="10">
        <v>0</v>
      </c>
      <c r="L47" s="10">
        <f t="shared" si="6"/>
        <v>164996.8</v>
      </c>
      <c r="M47" s="22">
        <v>0</v>
      </c>
    </row>
    <row r="48" spans="2:13" ht="14.25" hidden="1" thickBot="1">
      <c r="B48" s="11" t="s">
        <v>43</v>
      </c>
      <c r="C48" s="12">
        <v>0</v>
      </c>
      <c r="D48" s="12">
        <v>0</v>
      </c>
      <c r="E48" s="10">
        <f>2.61+81.59+19.27+30.64+45.71+31.94</f>
        <v>211.76000000000002</v>
      </c>
      <c r="F48" s="12">
        <v>0</v>
      </c>
      <c r="G48" s="10">
        <f t="shared" si="5"/>
        <v>211.76000000000002</v>
      </c>
      <c r="H48" s="19">
        <f>F48/(D48+E48)</f>
        <v>0</v>
      </c>
      <c r="I48" s="10">
        <f>10825.05+245240.6+57931.28+8424.49+92095.57+831.53+95979.88</f>
        <v>511328.4</v>
      </c>
      <c r="J48" s="10">
        <v>0</v>
      </c>
      <c r="K48" s="10">
        <f>148258.24+6806.29+91583.36</f>
        <v>246647.89</v>
      </c>
      <c r="L48" s="10">
        <f t="shared" si="6"/>
        <v>264680.51</v>
      </c>
      <c r="M48" s="22">
        <v>0</v>
      </c>
    </row>
    <row r="49" spans="2:13" ht="14.25" hidden="1" thickBot="1">
      <c r="B49" s="13" t="s">
        <v>7</v>
      </c>
      <c r="C49" s="9">
        <f>C10+C17+C31</f>
        <v>104084927.75</v>
      </c>
      <c r="D49" s="9">
        <f>D10+D17+D31</f>
        <v>11006013.540000001</v>
      </c>
      <c r="E49" s="9">
        <f>E10+E17+E31</f>
        <v>10765.800000000005</v>
      </c>
      <c r="F49" s="9">
        <f>F10+F17+F31</f>
        <v>6941862.9</v>
      </c>
      <c r="G49" s="9">
        <f>D49+E49-F49</f>
        <v>4074916.4400000013</v>
      </c>
      <c r="H49" s="20"/>
      <c r="I49" s="9">
        <f>I31+I17+I10</f>
        <v>9336496.94</v>
      </c>
      <c r="J49" s="9">
        <f>J31+J17+J10</f>
        <v>357473.5</v>
      </c>
      <c r="K49" s="9">
        <f>K31+K17+K10</f>
        <v>879558.11</v>
      </c>
      <c r="L49" s="9">
        <f>L31+L17+L10</f>
        <v>8814412.33</v>
      </c>
      <c r="M49" s="23"/>
    </row>
    <row r="50" spans="2:13" ht="7.5" customHeight="1" hidden="1">
      <c r="B50" s="51"/>
      <c r="C50" s="52"/>
      <c r="D50" s="52"/>
      <c r="E50" s="52"/>
      <c r="F50" s="52"/>
      <c r="G50" s="52"/>
      <c r="H50" s="53"/>
      <c r="I50" s="52"/>
      <c r="J50" s="52"/>
      <c r="K50" s="52"/>
      <c r="L50" s="52"/>
      <c r="M50" s="54"/>
    </row>
    <row r="51" spans="2:13" ht="13.5" hidden="1" thickBot="1">
      <c r="B51" s="25"/>
      <c r="C51" s="26"/>
      <c r="D51" s="98" t="s">
        <v>11</v>
      </c>
      <c r="E51" s="98"/>
      <c r="F51" s="98"/>
      <c r="G51" s="98"/>
      <c r="H51" s="98"/>
      <c r="I51" s="98"/>
      <c r="J51" s="98"/>
      <c r="K51" s="26"/>
      <c r="L51" s="26"/>
      <c r="M51" s="47"/>
    </row>
    <row r="52" spans="2:13" ht="14.25" hidden="1" thickBot="1">
      <c r="B52" s="25"/>
      <c r="C52" s="99" t="s">
        <v>3</v>
      </c>
      <c r="D52" s="99"/>
      <c r="E52" s="114" t="s">
        <v>4</v>
      </c>
      <c r="F52" s="115"/>
      <c r="G52" s="115"/>
      <c r="H52" s="116"/>
      <c r="I52" s="56" t="s">
        <v>54</v>
      </c>
      <c r="J52" s="28" t="s">
        <v>0</v>
      </c>
      <c r="K52" s="25"/>
      <c r="L52" s="29"/>
      <c r="M52" s="30"/>
    </row>
    <row r="53" spans="2:13" ht="14.25" hidden="1" thickBot="1">
      <c r="B53" s="25"/>
      <c r="C53" s="103" t="s">
        <v>31</v>
      </c>
      <c r="D53" s="103"/>
      <c r="E53" s="92">
        <v>5681835.39</v>
      </c>
      <c r="F53" s="93"/>
      <c r="G53" s="93"/>
      <c r="H53" s="94"/>
      <c r="I53" s="45">
        <v>0</v>
      </c>
      <c r="J53" s="31">
        <v>0</v>
      </c>
      <c r="K53" s="25"/>
      <c r="L53" s="29"/>
      <c r="M53" s="30"/>
    </row>
    <row r="54" spans="2:13" ht="14.25" hidden="1" thickBot="1">
      <c r="B54" s="25"/>
      <c r="C54" s="91" t="s">
        <v>32</v>
      </c>
      <c r="D54" s="91"/>
      <c r="E54" s="92">
        <v>4804799.36</v>
      </c>
      <c r="F54" s="93"/>
      <c r="G54" s="93"/>
      <c r="H54" s="94"/>
      <c r="I54" s="45">
        <v>146026.21</v>
      </c>
      <c r="J54" s="31">
        <v>0.03</v>
      </c>
      <c r="K54" s="26"/>
      <c r="L54" s="29"/>
      <c r="M54" s="30"/>
    </row>
    <row r="55" spans="2:13" ht="5.25" customHeight="1" hidden="1">
      <c r="B55" s="25"/>
      <c r="C55" s="48"/>
      <c r="D55" s="48"/>
      <c r="E55" s="49"/>
      <c r="F55" s="49"/>
      <c r="G55" s="49"/>
      <c r="H55" s="49"/>
      <c r="I55" s="49"/>
      <c r="J55" s="50"/>
      <c r="K55" s="26"/>
      <c r="L55" s="29"/>
      <c r="M55" s="30"/>
    </row>
    <row r="56" spans="2:13" ht="13.5" customHeight="1" hidden="1">
      <c r="B56" s="32"/>
      <c r="C56" s="95" t="s">
        <v>5</v>
      </c>
      <c r="D56" s="95"/>
      <c r="E56" s="33"/>
      <c r="F56" s="34"/>
      <c r="G56" s="34"/>
      <c r="H56" s="34" t="s">
        <v>28</v>
      </c>
      <c r="I56" s="35"/>
      <c r="J56" s="96" t="s">
        <v>29</v>
      </c>
      <c r="K56" s="96"/>
      <c r="L56" s="96"/>
      <c r="M56" s="36"/>
    </row>
    <row r="57" spans="2:13" ht="7.5" customHeight="1" hidden="1">
      <c r="B57" s="32"/>
      <c r="C57" s="37"/>
      <c r="D57" s="55"/>
      <c r="E57" s="33"/>
      <c r="F57" s="34"/>
      <c r="G57" s="34"/>
      <c r="H57" s="38"/>
      <c r="I57" s="35"/>
      <c r="J57" s="39"/>
      <c r="K57" s="39"/>
      <c r="L57" s="40"/>
      <c r="M57" s="36"/>
    </row>
    <row r="58" spans="2:13" ht="12.75" customHeight="1" hidden="1">
      <c r="B58" s="41"/>
      <c r="C58" s="95" t="s">
        <v>30</v>
      </c>
      <c r="D58" s="95"/>
      <c r="E58" s="33"/>
      <c r="F58" s="34"/>
      <c r="G58" s="34"/>
      <c r="H58" s="34" t="s">
        <v>38</v>
      </c>
      <c r="I58" s="35"/>
      <c r="J58" s="96" t="s">
        <v>39</v>
      </c>
      <c r="K58" s="96"/>
      <c r="L58" s="96"/>
      <c r="M58" s="18"/>
    </row>
    <row r="59" spans="2:13" ht="15" customHeight="1" hidden="1">
      <c r="B59" s="41"/>
      <c r="C59" s="88" t="s">
        <v>40</v>
      </c>
      <c r="D59" s="89"/>
      <c r="E59" s="33"/>
      <c r="F59" s="42"/>
      <c r="G59" s="42"/>
      <c r="H59" s="42" t="s">
        <v>36</v>
      </c>
      <c r="I59" s="35"/>
      <c r="J59" s="90" t="s">
        <v>37</v>
      </c>
      <c r="K59" s="90"/>
      <c r="L59" s="90"/>
      <c r="M59" s="24"/>
    </row>
    <row r="60" spans="2:13" ht="16.5" hidden="1" thickBot="1">
      <c r="B60" s="46" t="s">
        <v>34</v>
      </c>
      <c r="C60" s="43"/>
      <c r="D60" s="43"/>
      <c r="E60" s="43"/>
      <c r="F60" s="44"/>
      <c r="G60" s="44"/>
      <c r="H60" s="27"/>
      <c r="I60" s="43"/>
      <c r="J60" s="44"/>
      <c r="K60" s="43"/>
      <c r="L60" s="43"/>
      <c r="M60" s="24"/>
    </row>
    <row r="61" spans="2:13" ht="16.5" hidden="1" thickBot="1">
      <c r="B61" s="117" t="s">
        <v>26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2:13" ht="16.5" hidden="1" thickBot="1">
      <c r="B62" s="7"/>
      <c r="C62" s="5"/>
      <c r="D62" s="5"/>
      <c r="E62" s="5"/>
      <c r="F62" s="5"/>
      <c r="G62" s="5"/>
      <c r="H62" s="17"/>
      <c r="I62" s="5"/>
      <c r="J62" s="5"/>
      <c r="K62" s="5"/>
      <c r="L62" s="5"/>
      <c r="M62" s="17"/>
    </row>
    <row r="63" spans="2:13" ht="16.5" hidden="1" thickBot="1">
      <c r="B63" s="117" t="s">
        <v>6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</row>
    <row r="64" spans="2:13" ht="17.25" hidden="1" thickBot="1">
      <c r="B64" s="112" t="s">
        <v>60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</row>
    <row r="65" spans="2:13" ht="17.25" hidden="1" thickBot="1">
      <c r="B65" s="113" t="s">
        <v>75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2:13" ht="16.5" hidden="1" thickBot="1">
      <c r="B66" s="3" t="s">
        <v>15</v>
      </c>
      <c r="C66" s="4"/>
      <c r="D66" s="4"/>
      <c r="E66" s="4"/>
      <c r="F66" s="4"/>
      <c r="G66" s="4"/>
      <c r="H66" s="6"/>
      <c r="I66" s="4"/>
      <c r="J66" s="4"/>
      <c r="K66" s="4"/>
      <c r="L66" s="4"/>
      <c r="M66" s="6"/>
    </row>
    <row r="67" spans="3:12" ht="12" customHeight="1" hidden="1">
      <c r="C67" s="2"/>
      <c r="D67" s="104" t="s">
        <v>1</v>
      </c>
      <c r="E67" s="104"/>
      <c r="F67" s="105"/>
      <c r="G67" s="105"/>
      <c r="H67" s="105"/>
      <c r="I67" s="104" t="s">
        <v>2</v>
      </c>
      <c r="J67" s="104"/>
      <c r="K67" s="104"/>
      <c r="L67" s="104"/>
    </row>
    <row r="68" spans="2:13" ht="13.5" customHeight="1" hidden="1">
      <c r="B68" s="106" t="s">
        <v>8</v>
      </c>
      <c r="C68" s="108" t="s">
        <v>12</v>
      </c>
      <c r="D68" s="108" t="s">
        <v>13</v>
      </c>
      <c r="E68" s="108" t="s">
        <v>16</v>
      </c>
      <c r="F68" s="97" t="s">
        <v>14</v>
      </c>
      <c r="G68" s="58"/>
      <c r="H68" s="97" t="s">
        <v>0</v>
      </c>
      <c r="I68" s="97" t="s">
        <v>22</v>
      </c>
      <c r="J68" s="97" t="s">
        <v>23</v>
      </c>
      <c r="K68" s="97" t="s">
        <v>24</v>
      </c>
      <c r="L68" s="97" t="s">
        <v>25</v>
      </c>
      <c r="M68" s="59" t="s">
        <v>9</v>
      </c>
    </row>
    <row r="69" spans="2:13" ht="30" customHeight="1" hidden="1">
      <c r="B69" s="107"/>
      <c r="C69" s="108"/>
      <c r="D69" s="108"/>
      <c r="E69" s="108"/>
      <c r="F69" s="97"/>
      <c r="G69" s="58"/>
      <c r="H69" s="97"/>
      <c r="I69" s="97"/>
      <c r="J69" s="97"/>
      <c r="K69" s="97"/>
      <c r="L69" s="97"/>
      <c r="M69" s="1" t="s">
        <v>10</v>
      </c>
    </row>
    <row r="70" spans="2:13" ht="14.25" hidden="1" thickBot="1">
      <c r="B70" s="8" t="s">
        <v>35</v>
      </c>
      <c r="C70" s="9">
        <f>SUM(C71:C76)</f>
        <v>10977566.75</v>
      </c>
      <c r="D70" s="9">
        <f>SUM(D71:D76)</f>
        <v>3681326.62</v>
      </c>
      <c r="E70" s="9">
        <f>SUM(E71:E76)</f>
        <v>0</v>
      </c>
      <c r="F70" s="9">
        <f>SUM(F71:F76)</f>
        <v>1532476.74</v>
      </c>
      <c r="G70" s="9">
        <f>D70+E70-F70</f>
        <v>2148849.88</v>
      </c>
      <c r="H70" s="19">
        <f>F70/(D70+E70)</f>
        <v>0.4162838286813029</v>
      </c>
      <c r="I70" s="9">
        <f>SUM(I71:I76)</f>
        <v>2131837.1799999997</v>
      </c>
      <c r="J70" s="9">
        <f>SUM(J71:J76)</f>
        <v>18763.2</v>
      </c>
      <c r="K70" s="9">
        <f>K71</f>
        <v>8811</v>
      </c>
      <c r="L70" s="9">
        <f>I70+J70-K70</f>
        <v>2141789.38</v>
      </c>
      <c r="M70" s="22">
        <f>F70/C70</f>
        <v>0.1396007671736544</v>
      </c>
    </row>
    <row r="71" spans="2:13" ht="14.25" hidden="1" thickBot="1">
      <c r="B71" s="11" t="s">
        <v>17</v>
      </c>
      <c r="C71" s="12">
        <v>3664251.75</v>
      </c>
      <c r="D71" s="12">
        <v>2188470</v>
      </c>
      <c r="E71" s="10">
        <v>0</v>
      </c>
      <c r="F71" s="12">
        <f>1532476.74</f>
        <v>1532476.74</v>
      </c>
      <c r="G71" s="10"/>
      <c r="H71" s="19"/>
      <c r="I71" s="10">
        <f>1457877.89+673959.29</f>
        <v>2131837.1799999997</v>
      </c>
      <c r="J71" s="10">
        <v>18763.2</v>
      </c>
      <c r="K71" s="10">
        <v>8811</v>
      </c>
      <c r="L71" s="10">
        <f>I71+J71-K71</f>
        <v>2141789.38</v>
      </c>
      <c r="M71" s="22"/>
    </row>
    <row r="72" spans="2:13" ht="14.25" hidden="1" thickBot="1">
      <c r="B72" s="11" t="s">
        <v>18</v>
      </c>
      <c r="C72" s="12">
        <v>5583543</v>
      </c>
      <c r="D72" s="12">
        <v>1229690.12</v>
      </c>
      <c r="E72" s="10">
        <v>0</v>
      </c>
      <c r="F72" s="12">
        <v>0</v>
      </c>
      <c r="G72" s="10"/>
      <c r="H72" s="19"/>
      <c r="I72" s="10">
        <v>0</v>
      </c>
      <c r="J72" s="10">
        <v>0</v>
      </c>
      <c r="K72" s="10">
        <v>0</v>
      </c>
      <c r="L72" s="10">
        <v>0</v>
      </c>
      <c r="M72" s="22"/>
    </row>
    <row r="73" spans="2:13" ht="14.25" hidden="1" thickBot="1">
      <c r="B73" s="11" t="s">
        <v>19</v>
      </c>
      <c r="C73" s="12">
        <v>543559</v>
      </c>
      <c r="D73" s="12">
        <v>206260.5</v>
      </c>
      <c r="E73" s="10">
        <v>0</v>
      </c>
      <c r="F73" s="12">
        <v>0</v>
      </c>
      <c r="G73" s="10"/>
      <c r="H73" s="19"/>
      <c r="I73" s="10">
        <v>0</v>
      </c>
      <c r="J73" s="10">
        <v>0</v>
      </c>
      <c r="K73" s="10">
        <v>0</v>
      </c>
      <c r="L73" s="10">
        <v>0</v>
      </c>
      <c r="M73" s="22"/>
    </row>
    <row r="74" spans="2:13" ht="14.25" hidden="1" thickBot="1">
      <c r="B74" s="11" t="s">
        <v>20</v>
      </c>
      <c r="C74" s="12">
        <v>1186213</v>
      </c>
      <c r="D74" s="12">
        <v>56906</v>
      </c>
      <c r="E74" s="10">
        <v>0</v>
      </c>
      <c r="F74" s="12">
        <v>0</v>
      </c>
      <c r="G74" s="10"/>
      <c r="H74" s="19"/>
      <c r="I74" s="10">
        <v>0</v>
      </c>
      <c r="J74" s="10">
        <v>0</v>
      </c>
      <c r="K74" s="10">
        <v>0</v>
      </c>
      <c r="L74" s="10">
        <v>0</v>
      </c>
      <c r="M74" s="22"/>
    </row>
    <row r="75" spans="2:13" ht="14.25" hidden="1" thickBot="1">
      <c r="B75" s="11" t="s">
        <v>21</v>
      </c>
      <c r="C75" s="12">
        <v>0</v>
      </c>
      <c r="D75" s="12">
        <v>0</v>
      </c>
      <c r="E75" s="10">
        <v>0</v>
      </c>
      <c r="F75" s="12">
        <v>0</v>
      </c>
      <c r="G75" s="10"/>
      <c r="H75" s="19"/>
      <c r="I75" s="10">
        <v>0</v>
      </c>
      <c r="J75" s="10">
        <v>0</v>
      </c>
      <c r="K75" s="10">
        <v>0</v>
      </c>
      <c r="L75" s="10">
        <v>0</v>
      </c>
      <c r="M75" s="22"/>
    </row>
    <row r="76" spans="2:13" ht="14.25" hidden="1" thickBot="1">
      <c r="B76" s="11" t="s">
        <v>42</v>
      </c>
      <c r="C76" s="12">
        <v>0</v>
      </c>
      <c r="D76" s="12">
        <v>0</v>
      </c>
      <c r="E76" s="10">
        <v>0</v>
      </c>
      <c r="F76" s="12">
        <v>0</v>
      </c>
      <c r="G76" s="10"/>
      <c r="H76" s="19"/>
      <c r="I76" s="10">
        <v>0</v>
      </c>
      <c r="J76" s="10">
        <v>0</v>
      </c>
      <c r="K76" s="10">
        <v>0</v>
      </c>
      <c r="L76" s="10">
        <v>0</v>
      </c>
      <c r="M76" s="22"/>
    </row>
    <row r="77" spans="2:13" ht="14.25" hidden="1" thickBot="1">
      <c r="B77" s="8" t="s">
        <v>27</v>
      </c>
      <c r="C77" s="9">
        <f>SUM(C78:C89)</f>
        <v>93107361</v>
      </c>
      <c r="D77" s="9">
        <f>SUM(D78:D90)</f>
        <v>18235043.47</v>
      </c>
      <c r="E77" s="9">
        <f>SUM(E78:E89)</f>
        <v>22.1</v>
      </c>
      <c r="F77" s="9">
        <f>SUM(F78:F90)</f>
        <v>7035670.4</v>
      </c>
      <c r="G77" s="9">
        <f>D77+E77-F77</f>
        <v>11199395.17</v>
      </c>
      <c r="H77" s="19">
        <f>F77/(D77+E77)</f>
        <v>0.38583192218266316</v>
      </c>
      <c r="I77" s="9">
        <f>SUM(I78:I89)</f>
        <v>11524065.19</v>
      </c>
      <c r="J77" s="9">
        <f>SUM(J78:J89)</f>
        <v>199195.55</v>
      </c>
      <c r="K77" s="9">
        <f>SUM(K78:K89)</f>
        <v>372706.66000000003</v>
      </c>
      <c r="L77" s="9">
        <f>SUM(L78:L89)</f>
        <v>11350554.08</v>
      </c>
      <c r="M77" s="22">
        <f aca="true" t="shared" si="7" ref="M77:M84">F77/C77</f>
        <v>0.07556513603688113</v>
      </c>
    </row>
    <row r="78" spans="2:13" ht="14.25" hidden="1" thickBot="1">
      <c r="B78" s="11" t="s">
        <v>61</v>
      </c>
      <c r="C78" s="12">
        <v>31868879</v>
      </c>
      <c r="D78" s="12">
        <v>6516631.34</v>
      </c>
      <c r="E78" s="10"/>
      <c r="F78" s="12">
        <v>3455860</v>
      </c>
      <c r="G78" s="10">
        <f>D78+E78-F78</f>
        <v>3060771.34</v>
      </c>
      <c r="H78" s="19">
        <f>F78/(D78+E78)</f>
        <v>0.5303138722590375</v>
      </c>
      <c r="I78" s="10">
        <v>3296117.6</v>
      </c>
      <c r="J78" s="10">
        <v>139.2</v>
      </c>
      <c r="K78" s="10">
        <v>296866.02</v>
      </c>
      <c r="L78" s="10">
        <f>I78+J78-K78</f>
        <v>2999390.7800000003</v>
      </c>
      <c r="M78" s="22">
        <f t="shared" si="7"/>
        <v>0.10843996112947682</v>
      </c>
    </row>
    <row r="79" spans="2:13" ht="14.25" hidden="1" thickBot="1">
      <c r="B79" s="11" t="s">
        <v>62</v>
      </c>
      <c r="C79" s="12">
        <v>13235444</v>
      </c>
      <c r="D79" s="12">
        <v>2454403.83</v>
      </c>
      <c r="E79" s="10"/>
      <c r="F79" s="12">
        <v>386052.58</v>
      </c>
      <c r="G79" s="10">
        <f aca="true" t="shared" si="8" ref="G79:G85">D79+E79-F79</f>
        <v>2068351.25</v>
      </c>
      <c r="H79" s="19">
        <f aca="true" t="shared" si="9" ref="H79:H85">F79/(D79+E79)</f>
        <v>0.1572897561849062</v>
      </c>
      <c r="I79" s="10">
        <v>2079874.6</v>
      </c>
      <c r="J79" s="10">
        <v>59353.5</v>
      </c>
      <c r="K79" s="10"/>
      <c r="L79" s="10">
        <f aca="true" t="shared" si="10" ref="L79:L90">I79+J79-K79</f>
        <v>2139228.1</v>
      </c>
      <c r="M79" s="22">
        <f t="shared" si="7"/>
        <v>0.029168086843176552</v>
      </c>
    </row>
    <row r="80" spans="2:13" ht="14.25" hidden="1" thickBot="1">
      <c r="B80" s="11" t="s">
        <v>63</v>
      </c>
      <c r="C80" s="12">
        <v>1255332</v>
      </c>
      <c r="D80" s="12">
        <v>215822.82</v>
      </c>
      <c r="E80" s="10"/>
      <c r="F80" s="12">
        <v>44643.76</v>
      </c>
      <c r="G80" s="10">
        <f t="shared" si="8"/>
        <v>171179.06</v>
      </c>
      <c r="H80" s="19">
        <f t="shared" si="9"/>
        <v>0.20685375160976954</v>
      </c>
      <c r="I80" s="10">
        <v>171426.2</v>
      </c>
      <c r="J80" s="10"/>
      <c r="K80" s="10">
        <v>247.14</v>
      </c>
      <c r="L80" s="10">
        <f t="shared" si="10"/>
        <v>171179.06</v>
      </c>
      <c r="M80" s="22">
        <f t="shared" si="7"/>
        <v>0.035563309148496175</v>
      </c>
    </row>
    <row r="81" spans="2:13" ht="14.25" hidden="1" thickBot="1">
      <c r="B81" s="11" t="s">
        <v>66</v>
      </c>
      <c r="C81" s="12">
        <v>54835</v>
      </c>
      <c r="D81" s="12">
        <v>9139.12</v>
      </c>
      <c r="E81" s="10"/>
      <c r="F81" s="12">
        <v>1392</v>
      </c>
      <c r="G81" s="10">
        <f t="shared" si="8"/>
        <v>7747.120000000001</v>
      </c>
      <c r="H81" s="19">
        <f t="shared" si="9"/>
        <v>0.15231225763530842</v>
      </c>
      <c r="I81" s="10">
        <v>7747.12</v>
      </c>
      <c r="J81" s="10"/>
      <c r="K81" s="10"/>
      <c r="L81" s="10">
        <f t="shared" si="10"/>
        <v>7747.12</v>
      </c>
      <c r="M81" s="22">
        <f t="shared" si="7"/>
        <v>0.02538524664903802</v>
      </c>
    </row>
    <row r="82" spans="2:13" ht="14.25" hidden="1" thickBot="1">
      <c r="B82" s="11" t="s">
        <v>64</v>
      </c>
      <c r="C82" s="12">
        <v>270270</v>
      </c>
      <c r="D82" s="12">
        <v>65327.97</v>
      </c>
      <c r="E82" s="10"/>
      <c r="F82" s="12">
        <v>29870</v>
      </c>
      <c r="G82" s="10">
        <f t="shared" si="8"/>
        <v>35457.97</v>
      </c>
      <c r="H82" s="19">
        <f t="shared" si="9"/>
        <v>0.4572314125174868</v>
      </c>
      <c r="I82" s="10">
        <v>35457.97</v>
      </c>
      <c r="J82" s="10"/>
      <c r="K82" s="10"/>
      <c r="L82" s="10">
        <f t="shared" si="10"/>
        <v>35457.97</v>
      </c>
      <c r="M82" s="22">
        <f t="shared" si="7"/>
        <v>0.11051911051911052</v>
      </c>
    </row>
    <row r="83" spans="2:13" ht="14.25" hidden="1" thickBot="1">
      <c r="B83" s="11" t="s">
        <v>71</v>
      </c>
      <c r="C83" s="12">
        <v>510916</v>
      </c>
      <c r="D83" s="12">
        <v>123081.35</v>
      </c>
      <c r="E83" s="10"/>
      <c r="F83" s="12">
        <v>36800</v>
      </c>
      <c r="G83" s="10">
        <f t="shared" si="8"/>
        <v>86281.35</v>
      </c>
      <c r="H83" s="19">
        <f t="shared" si="9"/>
        <v>0.2989892457305676</v>
      </c>
      <c r="I83" s="10">
        <v>86281.35</v>
      </c>
      <c r="J83" s="10"/>
      <c r="K83" s="10"/>
      <c r="L83" s="10">
        <f t="shared" si="10"/>
        <v>86281.35</v>
      </c>
      <c r="M83" s="22">
        <f t="shared" si="7"/>
        <v>0.0720274957135811</v>
      </c>
    </row>
    <row r="84" spans="2:13" ht="14.25" hidden="1" thickBot="1">
      <c r="B84" s="11" t="s">
        <v>65</v>
      </c>
      <c r="C84" s="12">
        <v>1292946</v>
      </c>
      <c r="D84" s="12">
        <v>136928.68</v>
      </c>
      <c r="E84" s="10"/>
      <c r="F84" s="12">
        <v>17528</v>
      </c>
      <c r="G84" s="10">
        <f t="shared" si="8"/>
        <v>119400.68</v>
      </c>
      <c r="H84" s="19">
        <f t="shared" si="9"/>
        <v>0.1280082448760917</v>
      </c>
      <c r="I84" s="10">
        <v>119400.68</v>
      </c>
      <c r="J84" s="10"/>
      <c r="K84" s="10"/>
      <c r="L84" s="10">
        <f t="shared" si="10"/>
        <v>119400.68</v>
      </c>
      <c r="M84" s="22">
        <f t="shared" si="7"/>
        <v>0.013556637322827095</v>
      </c>
    </row>
    <row r="85" spans="2:13" ht="14.25" hidden="1" thickBot="1">
      <c r="B85" s="11" t="s">
        <v>67</v>
      </c>
      <c r="C85" s="12">
        <v>0</v>
      </c>
      <c r="D85" s="12">
        <v>28083.05</v>
      </c>
      <c r="E85" s="10"/>
      <c r="F85" s="12">
        <v>0</v>
      </c>
      <c r="G85" s="10">
        <f t="shared" si="8"/>
        <v>28083.05</v>
      </c>
      <c r="H85" s="19">
        <f t="shared" si="9"/>
        <v>0</v>
      </c>
      <c r="I85" s="10">
        <v>28083.05</v>
      </c>
      <c r="J85" s="10"/>
      <c r="K85" s="10"/>
      <c r="L85" s="10">
        <f t="shared" si="10"/>
        <v>28083.05</v>
      </c>
      <c r="M85" s="22">
        <v>0</v>
      </c>
    </row>
    <row r="86" spans="2:13" ht="14.25" hidden="1" thickBot="1">
      <c r="B86" s="11" t="s">
        <v>72</v>
      </c>
      <c r="C86" s="12">
        <v>1175368</v>
      </c>
      <c r="D86" s="12">
        <f>80190.43+139702.85</f>
        <v>219893.28</v>
      </c>
      <c r="E86" s="10">
        <v>22.1</v>
      </c>
      <c r="F86" s="12">
        <v>63394</v>
      </c>
      <c r="G86" s="10">
        <v>0</v>
      </c>
      <c r="H86" s="19">
        <v>0</v>
      </c>
      <c r="I86" s="10">
        <v>156521.38</v>
      </c>
      <c r="J86" s="10">
        <v>139702.85</v>
      </c>
      <c r="K86" s="10"/>
      <c r="L86" s="10">
        <f t="shared" si="10"/>
        <v>296224.23</v>
      </c>
      <c r="M86" s="22">
        <f>F86/C86</f>
        <v>0.053935448302148775</v>
      </c>
    </row>
    <row r="87" spans="2:13" ht="14.25" hidden="1" thickBot="1">
      <c r="B87" s="11" t="s">
        <v>68</v>
      </c>
      <c r="C87" s="12">
        <v>14586232</v>
      </c>
      <c r="D87" s="12">
        <v>2917246.4</v>
      </c>
      <c r="E87" s="10"/>
      <c r="F87" s="12">
        <v>0</v>
      </c>
      <c r="G87" s="10">
        <f aca="true" t="shared" si="11" ref="G87:G92">D87+E87-F87</f>
        <v>2917246.4</v>
      </c>
      <c r="H87" s="19">
        <f>F87/(D87+E87)</f>
        <v>0</v>
      </c>
      <c r="I87" s="10">
        <v>2917246.4</v>
      </c>
      <c r="J87" s="10"/>
      <c r="K87" s="10"/>
      <c r="L87" s="10">
        <f t="shared" si="10"/>
        <v>2917246.4</v>
      </c>
      <c r="M87" s="22">
        <f>F87/C87</f>
        <v>0</v>
      </c>
    </row>
    <row r="88" spans="2:13" ht="14.25" hidden="1" thickBot="1">
      <c r="B88" s="11" t="s">
        <v>69</v>
      </c>
      <c r="C88" s="12">
        <v>26857139</v>
      </c>
      <c r="D88" s="12">
        <v>4519840.7</v>
      </c>
      <c r="E88" s="10"/>
      <c r="F88" s="12">
        <v>2794690.06</v>
      </c>
      <c r="G88" s="10">
        <f t="shared" si="11"/>
        <v>1725150.6400000001</v>
      </c>
      <c r="H88" s="19">
        <f>F88/(D88+E88)</f>
        <v>0.6183160525989334</v>
      </c>
      <c r="I88" s="10">
        <v>1876050.84</v>
      </c>
      <c r="J88" s="10"/>
      <c r="K88" s="10">
        <v>75593.5</v>
      </c>
      <c r="L88" s="10">
        <f t="shared" si="10"/>
        <v>1800457.34</v>
      </c>
      <c r="M88" s="22">
        <f>F88/C88</f>
        <v>0.10405762356146722</v>
      </c>
    </row>
    <row r="89" spans="2:13" ht="14.25" hidden="1" thickBot="1">
      <c r="B89" s="11" t="s">
        <v>70</v>
      </c>
      <c r="C89" s="12">
        <v>2000000</v>
      </c>
      <c r="D89" s="12">
        <v>955298</v>
      </c>
      <c r="E89" s="10"/>
      <c r="F89" s="12">
        <v>205440</v>
      </c>
      <c r="G89" s="10">
        <f t="shared" si="11"/>
        <v>749858</v>
      </c>
      <c r="H89" s="19">
        <v>0</v>
      </c>
      <c r="I89" s="10">
        <v>749858</v>
      </c>
      <c r="J89" s="10"/>
      <c r="K89" s="10"/>
      <c r="L89" s="10">
        <f t="shared" si="10"/>
        <v>749858</v>
      </c>
      <c r="M89" s="22">
        <f>F89/C89</f>
        <v>0.10272</v>
      </c>
    </row>
    <row r="90" spans="2:13" ht="14.25" hidden="1" thickBot="1">
      <c r="B90" s="11" t="s">
        <v>73</v>
      </c>
      <c r="C90" s="12">
        <v>0</v>
      </c>
      <c r="D90" s="12">
        <v>73346.93</v>
      </c>
      <c r="E90" s="10"/>
      <c r="F90" s="12">
        <v>0</v>
      </c>
      <c r="G90" s="10">
        <f t="shared" si="11"/>
        <v>73346.93</v>
      </c>
      <c r="H90" s="19">
        <v>0</v>
      </c>
      <c r="I90" s="10"/>
      <c r="J90" s="10">
        <v>247.14</v>
      </c>
      <c r="K90" s="10"/>
      <c r="L90" s="10">
        <f t="shared" si="10"/>
        <v>247.14</v>
      </c>
      <c r="M90" s="22"/>
    </row>
    <row r="91" spans="2:13" ht="14.25" hidden="1" thickBot="1">
      <c r="B91" s="8" t="s">
        <v>33</v>
      </c>
      <c r="C91" s="9">
        <f>SUM(C105:C106)</f>
        <v>0</v>
      </c>
      <c r="D91" s="9">
        <f>SUM(D105:D107)</f>
        <v>0</v>
      </c>
      <c r="E91" s="9">
        <f>SUM(E92:E107)</f>
        <v>9646.499999999998</v>
      </c>
      <c r="F91" s="9">
        <f>SUM(F92:F107)</f>
        <v>5628708.909999999</v>
      </c>
      <c r="G91" s="9">
        <f t="shared" si="11"/>
        <v>-5619062.409999999</v>
      </c>
      <c r="H91" s="19"/>
      <c r="I91" s="9">
        <f>SUM(I92:I107)</f>
        <v>4415338.17</v>
      </c>
      <c r="J91" s="9">
        <f>SUM(J105:J107)</f>
        <v>1392</v>
      </c>
      <c r="K91" s="9">
        <f>SUM(K105:K107)</f>
        <v>246647.89</v>
      </c>
      <c r="L91" s="9">
        <f>SUM(L105:L107)</f>
        <v>466160.74999999994</v>
      </c>
      <c r="M91" s="22">
        <v>0</v>
      </c>
    </row>
    <row r="92" spans="2:13" ht="14.25" hidden="1" thickBot="1">
      <c r="B92" s="11" t="s">
        <v>74</v>
      </c>
      <c r="C92" s="12">
        <v>26444293</v>
      </c>
      <c r="D92" s="12"/>
      <c r="E92" s="10">
        <v>3131.04</v>
      </c>
      <c r="F92" s="12">
        <v>575897</v>
      </c>
      <c r="G92" s="10">
        <f t="shared" si="11"/>
        <v>-572765.96</v>
      </c>
      <c r="H92" s="19">
        <v>0.59</v>
      </c>
      <c r="I92" s="10">
        <v>126530.48</v>
      </c>
      <c r="J92" s="10">
        <v>8811</v>
      </c>
      <c r="K92" s="10"/>
      <c r="L92" s="10">
        <f>I92+J92-K92</f>
        <v>135341.47999999998</v>
      </c>
      <c r="M92" s="22">
        <f>F92/C92</f>
        <v>0.02177774236581027</v>
      </c>
    </row>
    <row r="93" spans="2:13" ht="14.25" hidden="1" thickBot="1">
      <c r="B93" s="11" t="s">
        <v>44</v>
      </c>
      <c r="C93" s="12">
        <v>26444293</v>
      </c>
      <c r="D93" s="12"/>
      <c r="E93" s="10">
        <v>2956.56</v>
      </c>
      <c r="F93" s="12">
        <v>0</v>
      </c>
      <c r="G93" s="10">
        <f aca="true" t="shared" si="12" ref="G93:G107">D93+E93-F93</f>
        <v>2956.56</v>
      </c>
      <c r="H93" s="19">
        <f>F93/(D93+E93)</f>
        <v>0</v>
      </c>
      <c r="I93" s="10">
        <v>69611.91</v>
      </c>
      <c r="J93" s="10">
        <v>255901.15</v>
      </c>
      <c r="K93" s="10">
        <f>-42.69+70736.47</f>
        <v>70693.78</v>
      </c>
      <c r="L93" s="10">
        <f aca="true" t="shared" si="13" ref="L93:L107">I93+J93-K93</f>
        <v>254819.28</v>
      </c>
      <c r="M93" s="22">
        <f>F93/C93</f>
        <v>0</v>
      </c>
    </row>
    <row r="94" spans="2:13" ht="14.25" hidden="1" thickBot="1">
      <c r="B94" s="11" t="s">
        <v>45</v>
      </c>
      <c r="C94" s="12">
        <v>12591512</v>
      </c>
      <c r="D94" s="12"/>
      <c r="E94" s="10">
        <v>1471.93</v>
      </c>
      <c r="F94" s="12">
        <v>1931794.12</v>
      </c>
      <c r="G94" s="10">
        <f t="shared" si="12"/>
        <v>-1930322.1900000002</v>
      </c>
      <c r="H94" s="19">
        <v>0.16</v>
      </c>
      <c r="I94" s="10">
        <v>600685.23</v>
      </c>
      <c r="J94" s="10"/>
      <c r="K94" s="10">
        <f>139647.88+26845.47</f>
        <v>166493.35</v>
      </c>
      <c r="L94" s="10">
        <f t="shared" si="13"/>
        <v>434191.88</v>
      </c>
      <c r="M94" s="22">
        <f aca="true" t="shared" si="14" ref="M94:M102">F94/C94</f>
        <v>0.15342034538822663</v>
      </c>
    </row>
    <row r="95" spans="2:13" ht="14.25" hidden="1" thickBot="1">
      <c r="B95" s="11" t="s">
        <v>46</v>
      </c>
      <c r="C95" s="12">
        <v>25407614.43</v>
      </c>
      <c r="D95" s="12"/>
      <c r="E95" s="10">
        <v>293.05</v>
      </c>
      <c r="F95" s="12">
        <v>0</v>
      </c>
      <c r="G95" s="10">
        <f t="shared" si="12"/>
        <v>293.05</v>
      </c>
      <c r="H95" s="19">
        <f>F95/(D95+E95)</f>
        <v>0</v>
      </c>
      <c r="I95" s="10">
        <v>77281.37</v>
      </c>
      <c r="J95" s="10"/>
      <c r="K95" s="10"/>
      <c r="L95" s="10">
        <f t="shared" si="13"/>
        <v>77281.37</v>
      </c>
      <c r="M95" s="22">
        <f t="shared" si="14"/>
        <v>0</v>
      </c>
    </row>
    <row r="96" spans="2:13" ht="14.25" hidden="1" thickBot="1">
      <c r="B96" s="11" t="s">
        <v>47</v>
      </c>
      <c r="C96" s="12">
        <v>1057470</v>
      </c>
      <c r="D96" s="12"/>
      <c r="E96" s="10">
        <v>214.44</v>
      </c>
      <c r="F96" s="12">
        <v>96236.08</v>
      </c>
      <c r="G96" s="10">
        <f t="shared" si="12"/>
        <v>-96021.64</v>
      </c>
      <c r="H96" s="19">
        <f>F96/(D96+E96)</f>
        <v>448.7785860846857</v>
      </c>
      <c r="I96" s="10">
        <v>10102.79</v>
      </c>
      <c r="J96" s="10"/>
      <c r="K96" s="10">
        <v>8843.68</v>
      </c>
      <c r="L96" s="10">
        <f t="shared" si="13"/>
        <v>1259.1100000000006</v>
      </c>
      <c r="M96" s="22">
        <f t="shared" si="14"/>
        <v>0.09100596707235194</v>
      </c>
    </row>
    <row r="97" spans="2:13" ht="14.25" hidden="1" thickBot="1">
      <c r="B97" s="11" t="s">
        <v>48</v>
      </c>
      <c r="C97" s="12">
        <v>12329603</v>
      </c>
      <c r="D97" s="12"/>
      <c r="E97" s="10">
        <v>0</v>
      </c>
      <c r="F97" s="12">
        <v>2048744.56</v>
      </c>
      <c r="G97" s="10">
        <f t="shared" si="12"/>
        <v>-2048744.56</v>
      </c>
      <c r="H97" s="19">
        <v>0</v>
      </c>
      <c r="I97" s="10">
        <v>1983046.48</v>
      </c>
      <c r="J97" s="10"/>
      <c r="K97" s="10">
        <v>43500</v>
      </c>
      <c r="L97" s="10">
        <f t="shared" si="13"/>
        <v>1939546.48</v>
      </c>
      <c r="M97" s="22">
        <f t="shared" si="14"/>
        <v>0.16616468186364153</v>
      </c>
    </row>
    <row r="98" spans="2:13" ht="14.25" hidden="1" thickBot="1">
      <c r="B98" s="11" t="s">
        <v>49</v>
      </c>
      <c r="C98" s="12">
        <v>1167126</v>
      </c>
      <c r="D98" s="12"/>
      <c r="E98" s="10">
        <v>135.71</v>
      </c>
      <c r="F98" s="12">
        <v>307056.51</v>
      </c>
      <c r="G98" s="10">
        <f t="shared" si="12"/>
        <v>-306920.8</v>
      </c>
      <c r="H98" s="19">
        <v>0.36</v>
      </c>
      <c r="I98" s="10">
        <v>0</v>
      </c>
      <c r="J98" s="10"/>
      <c r="K98" s="10"/>
      <c r="L98" s="10">
        <f t="shared" si="13"/>
        <v>0</v>
      </c>
      <c r="M98" s="22">
        <f t="shared" si="14"/>
        <v>0.26308771289475175</v>
      </c>
    </row>
    <row r="99" spans="2:13" ht="14.25" hidden="1" thickBot="1">
      <c r="B99" s="11" t="s">
        <v>50</v>
      </c>
      <c r="C99" s="12">
        <v>161698</v>
      </c>
      <c r="D99" s="12"/>
      <c r="E99" s="10">
        <v>60.16</v>
      </c>
      <c r="F99" s="12">
        <v>0</v>
      </c>
      <c r="G99" s="10">
        <f t="shared" si="12"/>
        <v>60.16</v>
      </c>
      <c r="H99" s="19">
        <f>F99/(D99+E99)</f>
        <v>0</v>
      </c>
      <c r="I99" s="10">
        <v>47965.27</v>
      </c>
      <c r="J99" s="10"/>
      <c r="K99" s="10"/>
      <c r="L99" s="10">
        <f t="shared" si="13"/>
        <v>47965.27</v>
      </c>
      <c r="M99" s="22">
        <f t="shared" si="14"/>
        <v>0</v>
      </c>
    </row>
    <row r="100" spans="2:13" ht="14.25" hidden="1" thickBot="1">
      <c r="B100" s="11" t="s">
        <v>51</v>
      </c>
      <c r="C100" s="12">
        <v>44192</v>
      </c>
      <c r="D100" s="12"/>
      <c r="E100" s="10">
        <v>9.88</v>
      </c>
      <c r="F100" s="12">
        <v>0</v>
      </c>
      <c r="G100" s="10">
        <f t="shared" si="12"/>
        <v>9.88</v>
      </c>
      <c r="H100" s="19">
        <f>F100/(D100+E100)</f>
        <v>0</v>
      </c>
      <c r="I100" s="10">
        <v>20675.79</v>
      </c>
      <c r="J100" s="10"/>
      <c r="K100" s="10">
        <v>139702.85</v>
      </c>
      <c r="L100" s="10">
        <f t="shared" si="13"/>
        <v>-119027.06</v>
      </c>
      <c r="M100" s="22">
        <f t="shared" si="14"/>
        <v>0</v>
      </c>
    </row>
    <row r="101" spans="2:13" ht="14.25" hidden="1" thickBot="1">
      <c r="B101" s="11" t="s">
        <v>52</v>
      </c>
      <c r="C101" s="12">
        <v>439401</v>
      </c>
      <c r="D101" s="12"/>
      <c r="E101" s="10">
        <v>115.5</v>
      </c>
      <c r="F101" s="12">
        <v>0</v>
      </c>
      <c r="G101" s="10">
        <f t="shared" si="12"/>
        <v>115.5</v>
      </c>
      <c r="H101" s="19">
        <f>F101/(D101+E101)</f>
        <v>0</v>
      </c>
      <c r="I101" s="10">
        <v>30493.66</v>
      </c>
      <c r="J101" s="10"/>
      <c r="K101" s="10">
        <v>251661.15</v>
      </c>
      <c r="L101" s="10">
        <f t="shared" si="13"/>
        <v>-221167.49</v>
      </c>
      <c r="M101" s="22">
        <f t="shared" si="14"/>
        <v>0</v>
      </c>
    </row>
    <row r="102" spans="2:13" ht="14.25" hidden="1" thickBot="1">
      <c r="B102" s="11" t="s">
        <v>53</v>
      </c>
      <c r="C102" s="12">
        <v>102492.78</v>
      </c>
      <c r="D102" s="12"/>
      <c r="E102" s="10">
        <v>0</v>
      </c>
      <c r="F102" s="12">
        <v>56238</v>
      </c>
      <c r="G102" s="10">
        <f t="shared" si="12"/>
        <v>-56238</v>
      </c>
      <c r="H102" s="19">
        <v>0</v>
      </c>
      <c r="I102" s="10">
        <v>78297.26</v>
      </c>
      <c r="J102" s="10">
        <v>8843.68</v>
      </c>
      <c r="K102" s="10"/>
      <c r="L102" s="10">
        <f t="shared" si="13"/>
        <v>87140.94</v>
      </c>
      <c r="M102" s="22">
        <f t="shared" si="14"/>
        <v>0.5487020646722628</v>
      </c>
    </row>
    <row r="103" spans="2:13" ht="14.25" hidden="1" thickBot="1">
      <c r="B103" s="11" t="s">
        <v>55</v>
      </c>
      <c r="C103" s="12">
        <v>0</v>
      </c>
      <c r="D103" s="12"/>
      <c r="E103" s="10">
        <v>720.39</v>
      </c>
      <c r="F103" s="12">
        <v>558242.64</v>
      </c>
      <c r="G103" s="10">
        <f t="shared" si="12"/>
        <v>-557522.25</v>
      </c>
      <c r="H103" s="19">
        <v>0.04</v>
      </c>
      <c r="I103" s="10">
        <v>557061.43</v>
      </c>
      <c r="J103" s="10"/>
      <c r="K103" s="10">
        <v>0</v>
      </c>
      <c r="L103" s="10">
        <f t="shared" si="13"/>
        <v>557061.43</v>
      </c>
      <c r="M103" s="22">
        <v>0</v>
      </c>
    </row>
    <row r="104" spans="2:13" ht="14.25" hidden="1" thickBot="1">
      <c r="B104" s="11" t="s">
        <v>58</v>
      </c>
      <c r="C104" s="12">
        <v>0</v>
      </c>
      <c r="D104" s="12"/>
      <c r="E104" s="10">
        <v>0</v>
      </c>
      <c r="F104" s="12">
        <v>54500</v>
      </c>
      <c r="G104" s="10">
        <f t="shared" si="12"/>
        <v>-54500</v>
      </c>
      <c r="H104" s="19">
        <v>0</v>
      </c>
      <c r="I104" s="10">
        <v>102169.86</v>
      </c>
      <c r="J104" s="10"/>
      <c r="K104" s="10"/>
      <c r="L104" s="10">
        <f t="shared" si="13"/>
        <v>102169.86</v>
      </c>
      <c r="M104" s="22">
        <v>0</v>
      </c>
    </row>
    <row r="105" spans="2:13" ht="14.25" hidden="1" thickBot="1">
      <c r="B105" s="11" t="s">
        <v>41</v>
      </c>
      <c r="C105" s="12">
        <v>0</v>
      </c>
      <c r="D105" s="12"/>
      <c r="E105" s="10">
        <v>16.51</v>
      </c>
      <c r="F105" s="12">
        <v>0</v>
      </c>
      <c r="G105" s="10">
        <f t="shared" si="12"/>
        <v>16.51</v>
      </c>
      <c r="H105" s="19">
        <v>0</v>
      </c>
      <c r="I105" s="10">
        <v>35532.72</v>
      </c>
      <c r="J105" s="10">
        <v>0</v>
      </c>
      <c r="K105" s="10">
        <v>0</v>
      </c>
      <c r="L105" s="10">
        <f t="shared" si="13"/>
        <v>35532.72</v>
      </c>
      <c r="M105" s="22">
        <v>0</v>
      </c>
    </row>
    <row r="106" spans="2:13" ht="14.25" hidden="1" thickBot="1">
      <c r="B106" s="11" t="s">
        <v>56</v>
      </c>
      <c r="C106" s="12"/>
      <c r="D106" s="12"/>
      <c r="E106" s="10">
        <f>73.6+33.68</f>
        <v>107.28</v>
      </c>
      <c r="F106" s="12">
        <v>0</v>
      </c>
      <c r="G106" s="10">
        <f t="shared" si="12"/>
        <v>107.28</v>
      </c>
      <c r="H106" s="19">
        <f>F106/(D106+E106)</f>
        <v>0</v>
      </c>
      <c r="I106" s="10">
        <f>113161.24+115.58+51772.41</f>
        <v>165049.23</v>
      </c>
      <c r="J106" s="10">
        <v>0</v>
      </c>
      <c r="K106" s="10">
        <v>0</v>
      </c>
      <c r="L106" s="10">
        <f t="shared" si="13"/>
        <v>165049.23</v>
      </c>
      <c r="M106" s="22">
        <v>0</v>
      </c>
    </row>
    <row r="107" spans="2:13" ht="14.25" hidden="1" thickBot="1">
      <c r="B107" s="11" t="s">
        <v>43</v>
      </c>
      <c r="C107" s="12">
        <v>0</v>
      </c>
      <c r="D107" s="12"/>
      <c r="E107" s="10">
        <f>5.03+159.55+37.69+59.92+62.45+89.41</f>
        <v>414.04999999999995</v>
      </c>
      <c r="F107" s="12">
        <v>0</v>
      </c>
      <c r="G107" s="10">
        <f t="shared" si="12"/>
        <v>414.04999999999995</v>
      </c>
      <c r="H107" s="19">
        <f>F107/(D107+E107)</f>
        <v>0</v>
      </c>
      <c r="I107" s="10">
        <f>10479.47+245318.56+57949.7+8076.49+92124.85+875.23+96010.39</f>
        <v>510834.68999999994</v>
      </c>
      <c r="J107" s="10">
        <f>696+696</f>
        <v>1392</v>
      </c>
      <c r="K107" s="10">
        <f>148258.24+6806.29+91583.36</f>
        <v>246647.89</v>
      </c>
      <c r="L107" s="10">
        <f t="shared" si="13"/>
        <v>265578.79999999993</v>
      </c>
      <c r="M107" s="22">
        <v>0</v>
      </c>
    </row>
    <row r="108" spans="2:13" ht="14.25" hidden="1" thickBot="1">
      <c r="B108" s="13" t="s">
        <v>7</v>
      </c>
      <c r="C108" s="9">
        <f>C70+C77+C91</f>
        <v>104084927.75</v>
      </c>
      <c r="D108" s="9">
        <f>D70+D77+D91</f>
        <v>21916370.09</v>
      </c>
      <c r="E108" s="9">
        <f>E70+E77+E91</f>
        <v>9668.599999999999</v>
      </c>
      <c r="F108" s="9">
        <f>F70+F77+F91</f>
        <v>14196856.05</v>
      </c>
      <c r="G108" s="9">
        <f>D108+E108-F108</f>
        <v>7729182.640000001</v>
      </c>
      <c r="H108" s="20"/>
      <c r="I108" s="9">
        <f>I91+I77+I70</f>
        <v>18071240.54</v>
      </c>
      <c r="J108" s="9">
        <f>J91+J77+J70</f>
        <v>219350.75</v>
      </c>
      <c r="K108" s="9">
        <f>K91+K77+K70</f>
        <v>628165.55</v>
      </c>
      <c r="L108" s="9">
        <f>L91+L77+L70</f>
        <v>13958504.21</v>
      </c>
      <c r="M108" s="23"/>
    </row>
    <row r="109" spans="2:13" ht="9" customHeight="1" hidden="1">
      <c r="B109" s="51"/>
      <c r="C109" s="52"/>
      <c r="D109" s="52"/>
      <c r="E109" s="52"/>
      <c r="F109" s="52"/>
      <c r="G109" s="52"/>
      <c r="H109" s="53"/>
      <c r="I109" s="52"/>
      <c r="J109" s="52"/>
      <c r="K109" s="52"/>
      <c r="L109" s="52"/>
      <c r="M109" s="54"/>
    </row>
    <row r="110" spans="2:13" ht="13.5" hidden="1" thickBot="1">
      <c r="B110" s="25"/>
      <c r="C110" s="26"/>
      <c r="D110" s="98" t="s">
        <v>11</v>
      </c>
      <c r="E110" s="98"/>
      <c r="F110" s="98"/>
      <c r="G110" s="98"/>
      <c r="H110" s="98"/>
      <c r="I110" s="98"/>
      <c r="J110" s="98"/>
      <c r="K110" s="26"/>
      <c r="L110" s="26"/>
      <c r="M110" s="47"/>
    </row>
    <row r="111" spans="2:13" ht="14.25" hidden="1" thickBot="1">
      <c r="B111" s="25"/>
      <c r="C111" s="99" t="s">
        <v>3</v>
      </c>
      <c r="D111" s="99"/>
      <c r="E111" s="118" t="s">
        <v>4</v>
      </c>
      <c r="F111" s="119"/>
      <c r="G111" s="119"/>
      <c r="H111" s="120"/>
      <c r="I111" s="60" t="s">
        <v>54</v>
      </c>
      <c r="J111" s="28" t="s">
        <v>0</v>
      </c>
      <c r="K111" s="25"/>
      <c r="L111" s="29"/>
      <c r="M111" s="30"/>
    </row>
    <row r="112" spans="2:13" ht="14.25" hidden="1" thickBot="1">
      <c r="B112" s="25"/>
      <c r="C112" s="103" t="s">
        <v>31</v>
      </c>
      <c r="D112" s="103"/>
      <c r="E112" s="92">
        <v>5971553.53</v>
      </c>
      <c r="F112" s="93"/>
      <c r="G112" s="93"/>
      <c r="H112" s="94"/>
      <c r="I112" s="45">
        <v>500158.33</v>
      </c>
      <c r="J112" s="31">
        <v>0.83</v>
      </c>
      <c r="K112" s="25"/>
      <c r="L112" s="29"/>
      <c r="M112" s="30"/>
    </row>
    <row r="113" spans="2:13" ht="14.25" hidden="1" thickBot="1">
      <c r="B113" s="25"/>
      <c r="C113" s="91" t="s">
        <v>32</v>
      </c>
      <c r="D113" s="91"/>
      <c r="E113" s="92">
        <v>5748248.07</v>
      </c>
      <c r="F113" s="93"/>
      <c r="G113" s="93"/>
      <c r="H113" s="94"/>
      <c r="I113" s="45">
        <v>325802.42</v>
      </c>
      <c r="J113" s="31">
        <v>0.56</v>
      </c>
      <c r="K113" s="26"/>
      <c r="L113" s="29"/>
      <c r="M113" s="30"/>
    </row>
    <row r="114" spans="2:13" ht="5.25" customHeight="1" hidden="1">
      <c r="B114" s="25"/>
      <c r="C114" s="48"/>
      <c r="D114" s="48"/>
      <c r="E114" s="49"/>
      <c r="F114" s="49"/>
      <c r="G114" s="49"/>
      <c r="H114" s="49"/>
      <c r="I114" s="49"/>
      <c r="J114" s="50"/>
      <c r="K114" s="26"/>
      <c r="L114" s="29"/>
      <c r="M114" s="30"/>
    </row>
    <row r="115" spans="2:13" ht="17.25" hidden="1" thickBot="1">
      <c r="B115" s="32"/>
      <c r="C115" s="95" t="s">
        <v>5</v>
      </c>
      <c r="D115" s="95"/>
      <c r="E115" s="33"/>
      <c r="F115" s="34"/>
      <c r="G115" s="34"/>
      <c r="H115" s="34" t="s">
        <v>28</v>
      </c>
      <c r="I115" s="35"/>
      <c r="J115" s="96" t="s">
        <v>29</v>
      </c>
      <c r="K115" s="96"/>
      <c r="L115" s="96"/>
      <c r="M115" s="36"/>
    </row>
    <row r="116" spans="2:13" ht="9.75" customHeight="1" hidden="1">
      <c r="B116" s="32"/>
      <c r="C116" s="37"/>
      <c r="D116" s="57"/>
      <c r="E116" s="33"/>
      <c r="F116" s="34"/>
      <c r="G116" s="34"/>
      <c r="H116" s="38"/>
      <c r="I116" s="35"/>
      <c r="J116" s="39"/>
      <c r="K116" s="39"/>
      <c r="L116" s="40"/>
      <c r="M116" s="36"/>
    </row>
    <row r="117" spans="2:13" ht="17.25" hidden="1" thickBot="1">
      <c r="B117" s="41"/>
      <c r="C117" s="95" t="s">
        <v>30</v>
      </c>
      <c r="D117" s="95"/>
      <c r="E117" s="33"/>
      <c r="F117" s="34"/>
      <c r="G117" s="34"/>
      <c r="H117" s="34" t="s">
        <v>38</v>
      </c>
      <c r="I117" s="35"/>
      <c r="J117" s="96" t="s">
        <v>39</v>
      </c>
      <c r="K117" s="96"/>
      <c r="L117" s="96"/>
      <c r="M117" s="18"/>
    </row>
    <row r="118" spans="2:13" ht="17.25" hidden="1" thickBot="1">
      <c r="B118" s="41"/>
      <c r="C118" s="88" t="s">
        <v>40</v>
      </c>
      <c r="D118" s="89"/>
      <c r="E118" s="33"/>
      <c r="F118" s="42"/>
      <c r="G118" s="42"/>
      <c r="H118" s="42" t="s">
        <v>36</v>
      </c>
      <c r="I118" s="35"/>
      <c r="J118" s="90" t="s">
        <v>37</v>
      </c>
      <c r="K118" s="90"/>
      <c r="L118" s="90"/>
      <c r="M118" s="24"/>
    </row>
    <row r="119" spans="2:13" ht="16.5" hidden="1" thickBot="1">
      <c r="B119" s="46" t="s">
        <v>34</v>
      </c>
      <c r="C119" s="43"/>
      <c r="D119" s="43"/>
      <c r="E119" s="43"/>
      <c r="F119" s="44"/>
      <c r="G119" s="44"/>
      <c r="H119" s="27"/>
      <c r="I119" s="43"/>
      <c r="J119" s="44"/>
      <c r="K119" s="43"/>
      <c r="L119" s="43"/>
      <c r="M119" s="24"/>
    </row>
    <row r="120" spans="2:13" ht="16.5" hidden="1" thickBot="1">
      <c r="B120" s="117" t="s">
        <v>26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2:13" ht="16.5" hidden="1" thickBot="1">
      <c r="B121" s="7"/>
      <c r="C121" s="5"/>
      <c r="D121" s="5"/>
      <c r="E121" s="5"/>
      <c r="F121" s="5"/>
      <c r="G121" s="5"/>
      <c r="H121" s="17"/>
      <c r="I121" s="5"/>
      <c r="J121" s="5"/>
      <c r="K121" s="5"/>
      <c r="L121" s="5"/>
      <c r="M121" s="17"/>
    </row>
    <row r="122" spans="2:13" ht="16.5" hidden="1" thickBot="1">
      <c r="B122" s="117" t="s">
        <v>6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2:13" ht="17.25" hidden="1" thickBot="1">
      <c r="B123" s="112" t="s">
        <v>60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 ht="17.25" hidden="1" thickBot="1">
      <c r="B124" s="113" t="s">
        <v>76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 ht="16.5" hidden="1" thickBot="1">
      <c r="B125" s="3" t="s">
        <v>15</v>
      </c>
      <c r="C125" s="4"/>
      <c r="D125" s="4"/>
      <c r="E125" s="4"/>
      <c r="F125" s="4"/>
      <c r="G125" s="4"/>
      <c r="H125" s="6"/>
      <c r="I125" s="4"/>
      <c r="J125" s="4"/>
      <c r="K125" s="4"/>
      <c r="L125" s="4"/>
      <c r="M125" s="6"/>
    </row>
    <row r="126" spans="3:12" ht="12" customHeight="1" hidden="1">
      <c r="C126" s="2"/>
      <c r="D126" s="104" t="s">
        <v>1</v>
      </c>
      <c r="E126" s="104"/>
      <c r="F126" s="105"/>
      <c r="G126" s="105"/>
      <c r="H126" s="105"/>
      <c r="I126" s="104" t="s">
        <v>2</v>
      </c>
      <c r="J126" s="104"/>
      <c r="K126" s="104"/>
      <c r="L126" s="104"/>
    </row>
    <row r="127" spans="2:13" ht="13.5" customHeight="1" hidden="1">
      <c r="B127" s="106" t="s">
        <v>8</v>
      </c>
      <c r="C127" s="108" t="s">
        <v>12</v>
      </c>
      <c r="D127" s="108" t="s">
        <v>13</v>
      </c>
      <c r="E127" s="108" t="s">
        <v>16</v>
      </c>
      <c r="F127" s="97" t="s">
        <v>14</v>
      </c>
      <c r="G127" s="61"/>
      <c r="H127" s="97" t="s">
        <v>0</v>
      </c>
      <c r="I127" s="97" t="s">
        <v>22</v>
      </c>
      <c r="J127" s="97" t="s">
        <v>23</v>
      </c>
      <c r="K127" s="97" t="s">
        <v>24</v>
      </c>
      <c r="L127" s="97" t="s">
        <v>25</v>
      </c>
      <c r="M127" s="62" t="s">
        <v>9</v>
      </c>
    </row>
    <row r="128" spans="2:13" ht="30" customHeight="1" hidden="1">
      <c r="B128" s="107"/>
      <c r="C128" s="108"/>
      <c r="D128" s="108"/>
      <c r="E128" s="108"/>
      <c r="F128" s="97"/>
      <c r="G128" s="61"/>
      <c r="H128" s="97"/>
      <c r="I128" s="97"/>
      <c r="J128" s="97"/>
      <c r="K128" s="97"/>
      <c r="L128" s="97"/>
      <c r="M128" s="1" t="s">
        <v>10</v>
      </c>
    </row>
    <row r="129" spans="2:13" ht="14.25" hidden="1" thickBot="1">
      <c r="B129" s="8" t="s">
        <v>35</v>
      </c>
      <c r="C129" s="9">
        <f>SUM(C130:C135)</f>
        <v>10977566.75</v>
      </c>
      <c r="D129" s="9">
        <f>SUM(D130:D135)</f>
        <v>3681326.62</v>
      </c>
      <c r="E129" s="9">
        <f>SUM(E130:E135)</f>
        <v>0</v>
      </c>
      <c r="F129" s="9">
        <f>SUM(F130:F135)</f>
        <v>1532476.74</v>
      </c>
      <c r="G129" s="9">
        <f>D129+E129-F129</f>
        <v>2148849.88</v>
      </c>
      <c r="H129" s="19">
        <f>F129/(D129+E129)</f>
        <v>0.4162838286813029</v>
      </c>
      <c r="I129" s="9">
        <f>SUM(I130:I135)</f>
        <v>2131837.1799999997</v>
      </c>
      <c r="J129" s="9">
        <f>SUM(J130:J135)</f>
        <v>18763.2</v>
      </c>
      <c r="K129" s="9">
        <f>K130</f>
        <v>8811</v>
      </c>
      <c r="L129" s="9">
        <f>I129+J129-K129</f>
        <v>2141789.38</v>
      </c>
      <c r="M129" s="22">
        <f>F129/C129</f>
        <v>0.1396007671736544</v>
      </c>
    </row>
    <row r="130" spans="2:13" ht="14.25" hidden="1" thickBot="1">
      <c r="B130" s="11" t="s">
        <v>17</v>
      </c>
      <c r="C130" s="12">
        <v>3664251.75</v>
      </c>
      <c r="D130" s="12">
        <v>2188470</v>
      </c>
      <c r="E130" s="10">
        <v>0</v>
      </c>
      <c r="F130" s="12">
        <f>1532476.74</f>
        <v>1532476.74</v>
      </c>
      <c r="G130" s="10"/>
      <c r="H130" s="19"/>
      <c r="I130" s="10">
        <f>1457877.89+673959.29</f>
        <v>2131837.1799999997</v>
      </c>
      <c r="J130" s="10">
        <v>18763.2</v>
      </c>
      <c r="K130" s="10">
        <v>8811</v>
      </c>
      <c r="L130" s="10">
        <f>I130+J130-K130</f>
        <v>2141789.38</v>
      </c>
      <c r="M130" s="22"/>
    </row>
    <row r="131" spans="2:13" ht="14.25" hidden="1" thickBot="1">
      <c r="B131" s="11" t="s">
        <v>18</v>
      </c>
      <c r="C131" s="12">
        <v>5583543</v>
      </c>
      <c r="D131" s="12">
        <v>1229690.12</v>
      </c>
      <c r="E131" s="10">
        <v>0</v>
      </c>
      <c r="F131" s="12">
        <v>0</v>
      </c>
      <c r="G131" s="10"/>
      <c r="H131" s="19"/>
      <c r="I131" s="10">
        <v>0</v>
      </c>
      <c r="J131" s="10">
        <v>0</v>
      </c>
      <c r="K131" s="10">
        <v>0</v>
      </c>
      <c r="L131" s="10">
        <v>0</v>
      </c>
      <c r="M131" s="22"/>
    </row>
    <row r="132" spans="2:13" ht="14.25" hidden="1" thickBot="1">
      <c r="B132" s="11" t="s">
        <v>19</v>
      </c>
      <c r="C132" s="12">
        <v>543559</v>
      </c>
      <c r="D132" s="12">
        <v>206260.5</v>
      </c>
      <c r="E132" s="10">
        <v>0</v>
      </c>
      <c r="F132" s="12">
        <v>0</v>
      </c>
      <c r="G132" s="10"/>
      <c r="H132" s="19"/>
      <c r="I132" s="10">
        <v>0</v>
      </c>
      <c r="J132" s="10">
        <v>0</v>
      </c>
      <c r="K132" s="10">
        <v>0</v>
      </c>
      <c r="L132" s="10">
        <v>0</v>
      </c>
      <c r="M132" s="22"/>
    </row>
    <row r="133" spans="2:13" ht="14.25" hidden="1" thickBot="1">
      <c r="B133" s="11" t="s">
        <v>20</v>
      </c>
      <c r="C133" s="12">
        <v>1186213</v>
      </c>
      <c r="D133" s="12">
        <v>56906</v>
      </c>
      <c r="E133" s="10">
        <v>0</v>
      </c>
      <c r="F133" s="12">
        <v>0</v>
      </c>
      <c r="G133" s="10"/>
      <c r="H133" s="19"/>
      <c r="I133" s="10">
        <v>0</v>
      </c>
      <c r="J133" s="10">
        <v>0</v>
      </c>
      <c r="K133" s="10">
        <v>0</v>
      </c>
      <c r="L133" s="10">
        <v>0</v>
      </c>
      <c r="M133" s="22"/>
    </row>
    <row r="134" spans="2:13" ht="14.25" hidden="1" thickBot="1">
      <c r="B134" s="11" t="s">
        <v>21</v>
      </c>
      <c r="C134" s="12">
        <v>0</v>
      </c>
      <c r="D134" s="12">
        <v>0</v>
      </c>
      <c r="E134" s="10">
        <v>0</v>
      </c>
      <c r="F134" s="12">
        <v>0</v>
      </c>
      <c r="G134" s="10"/>
      <c r="H134" s="19"/>
      <c r="I134" s="10">
        <v>0</v>
      </c>
      <c r="J134" s="10">
        <v>0</v>
      </c>
      <c r="K134" s="10">
        <v>0</v>
      </c>
      <c r="L134" s="10">
        <v>0</v>
      </c>
      <c r="M134" s="22"/>
    </row>
    <row r="135" spans="2:13" ht="14.25" hidden="1" thickBot="1">
      <c r="B135" s="11" t="s">
        <v>42</v>
      </c>
      <c r="C135" s="12">
        <v>0</v>
      </c>
      <c r="D135" s="12">
        <v>0</v>
      </c>
      <c r="E135" s="10">
        <v>0</v>
      </c>
      <c r="F135" s="12">
        <v>0</v>
      </c>
      <c r="G135" s="10"/>
      <c r="H135" s="19"/>
      <c r="I135" s="10">
        <v>0</v>
      </c>
      <c r="J135" s="10">
        <v>0</v>
      </c>
      <c r="K135" s="10">
        <v>0</v>
      </c>
      <c r="L135" s="10">
        <v>0</v>
      </c>
      <c r="M135" s="22"/>
    </row>
    <row r="136" spans="2:13" ht="14.25" hidden="1" thickBot="1">
      <c r="B136" s="8" t="s">
        <v>27</v>
      </c>
      <c r="C136" s="9">
        <f>SUM(C137:C148)</f>
        <v>93107361</v>
      </c>
      <c r="D136" s="9">
        <f>SUM(D137:D149)</f>
        <v>18235043.47</v>
      </c>
      <c r="E136" s="9">
        <f>SUM(E137:E148)</f>
        <v>22.1</v>
      </c>
      <c r="F136" s="9">
        <f>SUM(F137:F149)</f>
        <v>7035670.4</v>
      </c>
      <c r="G136" s="9">
        <f>D136+E136-F136</f>
        <v>11199395.17</v>
      </c>
      <c r="H136" s="19">
        <f>F136/(D136+E136)</f>
        <v>0.38583192218266316</v>
      </c>
      <c r="I136" s="9">
        <f>SUM(I137:I148)</f>
        <v>11524065.19</v>
      </c>
      <c r="J136" s="9">
        <f>SUM(J137:J148)</f>
        <v>199195.55</v>
      </c>
      <c r="K136" s="9">
        <f>SUM(K137:K148)</f>
        <v>372706.66000000003</v>
      </c>
      <c r="L136" s="9">
        <f>SUM(L137:L148)</f>
        <v>11350554.08</v>
      </c>
      <c r="M136" s="22">
        <f aca="true" t="shared" si="15" ref="M136:M143">F136/C136</f>
        <v>0.07556513603688113</v>
      </c>
    </row>
    <row r="137" spans="2:13" ht="14.25" hidden="1" thickBot="1">
      <c r="B137" s="11" t="s">
        <v>61</v>
      </c>
      <c r="C137" s="12">
        <v>31868879</v>
      </c>
      <c r="D137" s="12">
        <v>6516631.34</v>
      </c>
      <c r="E137" s="10"/>
      <c r="F137" s="12">
        <v>3455860</v>
      </c>
      <c r="G137" s="10">
        <f>D137+E137-F137</f>
        <v>3060771.34</v>
      </c>
      <c r="H137" s="19">
        <f>F137/(D137+E137)</f>
        <v>0.5303138722590375</v>
      </c>
      <c r="I137" s="10">
        <v>3296117.6</v>
      </c>
      <c r="J137" s="10">
        <v>139.2</v>
      </c>
      <c r="K137" s="10">
        <v>296866.02</v>
      </c>
      <c r="L137" s="10">
        <f>I137+J137-K137</f>
        <v>2999390.7800000003</v>
      </c>
      <c r="M137" s="22">
        <f t="shared" si="15"/>
        <v>0.10843996112947682</v>
      </c>
    </row>
    <row r="138" spans="2:13" ht="14.25" hidden="1" thickBot="1">
      <c r="B138" s="11" t="s">
        <v>62</v>
      </c>
      <c r="C138" s="12">
        <v>13235444</v>
      </c>
      <c r="D138" s="12">
        <v>2454403.83</v>
      </c>
      <c r="E138" s="10"/>
      <c r="F138" s="12">
        <v>386052.58</v>
      </c>
      <c r="G138" s="10">
        <f aca="true" t="shared" si="16" ref="G138:G144">D138+E138-F138</f>
        <v>2068351.25</v>
      </c>
      <c r="H138" s="19">
        <f aca="true" t="shared" si="17" ref="H138:H144">F138/(D138+E138)</f>
        <v>0.1572897561849062</v>
      </c>
      <c r="I138" s="10">
        <v>2079874.6</v>
      </c>
      <c r="J138" s="10">
        <v>59353.5</v>
      </c>
      <c r="K138" s="10"/>
      <c r="L138" s="10">
        <f aca="true" t="shared" si="18" ref="L138:L149">I138+J138-K138</f>
        <v>2139228.1</v>
      </c>
      <c r="M138" s="22">
        <f t="shared" si="15"/>
        <v>0.029168086843176552</v>
      </c>
    </row>
    <row r="139" spans="2:13" ht="14.25" hidden="1" thickBot="1">
      <c r="B139" s="11" t="s">
        <v>63</v>
      </c>
      <c r="C139" s="12">
        <v>1255332</v>
      </c>
      <c r="D139" s="12">
        <v>215822.82</v>
      </c>
      <c r="E139" s="10"/>
      <c r="F139" s="12">
        <v>44643.76</v>
      </c>
      <c r="G139" s="10">
        <f t="shared" si="16"/>
        <v>171179.06</v>
      </c>
      <c r="H139" s="19">
        <f t="shared" si="17"/>
        <v>0.20685375160976954</v>
      </c>
      <c r="I139" s="10">
        <v>171426.2</v>
      </c>
      <c r="J139" s="10"/>
      <c r="K139" s="10">
        <v>247.14</v>
      </c>
      <c r="L139" s="10">
        <f t="shared" si="18"/>
        <v>171179.06</v>
      </c>
      <c r="M139" s="22">
        <f t="shared" si="15"/>
        <v>0.035563309148496175</v>
      </c>
    </row>
    <row r="140" spans="2:13" ht="14.25" hidden="1" thickBot="1">
      <c r="B140" s="11" t="s">
        <v>66</v>
      </c>
      <c r="C140" s="12">
        <v>54835</v>
      </c>
      <c r="D140" s="12">
        <v>9139.12</v>
      </c>
      <c r="E140" s="10"/>
      <c r="F140" s="12">
        <v>1392</v>
      </c>
      <c r="G140" s="10">
        <f t="shared" si="16"/>
        <v>7747.120000000001</v>
      </c>
      <c r="H140" s="19">
        <f t="shared" si="17"/>
        <v>0.15231225763530842</v>
      </c>
      <c r="I140" s="10">
        <v>7747.12</v>
      </c>
      <c r="J140" s="10"/>
      <c r="K140" s="10"/>
      <c r="L140" s="10">
        <f t="shared" si="18"/>
        <v>7747.12</v>
      </c>
      <c r="M140" s="22">
        <f t="shared" si="15"/>
        <v>0.02538524664903802</v>
      </c>
    </row>
    <row r="141" spans="2:13" ht="14.25" hidden="1" thickBot="1">
      <c r="B141" s="11" t="s">
        <v>64</v>
      </c>
      <c r="C141" s="12">
        <v>270270</v>
      </c>
      <c r="D141" s="12">
        <v>65327.97</v>
      </c>
      <c r="E141" s="10"/>
      <c r="F141" s="12">
        <v>29870</v>
      </c>
      <c r="G141" s="10">
        <f t="shared" si="16"/>
        <v>35457.97</v>
      </c>
      <c r="H141" s="19">
        <f t="shared" si="17"/>
        <v>0.4572314125174868</v>
      </c>
      <c r="I141" s="10">
        <v>35457.97</v>
      </c>
      <c r="J141" s="10"/>
      <c r="K141" s="10"/>
      <c r="L141" s="10">
        <f t="shared" si="18"/>
        <v>35457.97</v>
      </c>
      <c r="M141" s="22">
        <f t="shared" si="15"/>
        <v>0.11051911051911052</v>
      </c>
    </row>
    <row r="142" spans="2:13" ht="14.25" hidden="1" thickBot="1">
      <c r="B142" s="11" t="s">
        <v>71</v>
      </c>
      <c r="C142" s="12">
        <v>510916</v>
      </c>
      <c r="D142" s="12">
        <v>123081.35</v>
      </c>
      <c r="E142" s="10"/>
      <c r="F142" s="12">
        <v>36800</v>
      </c>
      <c r="G142" s="10">
        <f t="shared" si="16"/>
        <v>86281.35</v>
      </c>
      <c r="H142" s="19">
        <f t="shared" si="17"/>
        <v>0.2989892457305676</v>
      </c>
      <c r="I142" s="10">
        <v>86281.35</v>
      </c>
      <c r="J142" s="10"/>
      <c r="K142" s="10"/>
      <c r="L142" s="10">
        <f t="shared" si="18"/>
        <v>86281.35</v>
      </c>
      <c r="M142" s="22">
        <f t="shared" si="15"/>
        <v>0.0720274957135811</v>
      </c>
    </row>
    <row r="143" spans="2:13" ht="14.25" hidden="1" thickBot="1">
      <c r="B143" s="11" t="s">
        <v>65</v>
      </c>
      <c r="C143" s="12">
        <v>1292946</v>
      </c>
      <c r="D143" s="12">
        <v>136928.68</v>
      </c>
      <c r="E143" s="10"/>
      <c r="F143" s="12">
        <v>17528</v>
      </c>
      <c r="G143" s="10">
        <f t="shared" si="16"/>
        <v>119400.68</v>
      </c>
      <c r="H143" s="19">
        <f t="shared" si="17"/>
        <v>0.1280082448760917</v>
      </c>
      <c r="I143" s="10">
        <v>119400.68</v>
      </c>
      <c r="J143" s="10"/>
      <c r="K143" s="10"/>
      <c r="L143" s="10">
        <f t="shared" si="18"/>
        <v>119400.68</v>
      </c>
      <c r="M143" s="22">
        <f t="shared" si="15"/>
        <v>0.013556637322827095</v>
      </c>
    </row>
    <row r="144" spans="2:13" ht="14.25" hidden="1" thickBot="1">
      <c r="B144" s="11" t="s">
        <v>67</v>
      </c>
      <c r="C144" s="12">
        <v>0</v>
      </c>
      <c r="D144" s="12">
        <v>28083.05</v>
      </c>
      <c r="E144" s="10"/>
      <c r="F144" s="12">
        <v>0</v>
      </c>
      <c r="G144" s="10">
        <f t="shared" si="16"/>
        <v>28083.05</v>
      </c>
      <c r="H144" s="19">
        <f t="shared" si="17"/>
        <v>0</v>
      </c>
      <c r="I144" s="10">
        <v>28083.05</v>
      </c>
      <c r="J144" s="10"/>
      <c r="K144" s="10"/>
      <c r="L144" s="10">
        <f t="shared" si="18"/>
        <v>28083.05</v>
      </c>
      <c r="M144" s="22">
        <v>0</v>
      </c>
    </row>
    <row r="145" spans="2:13" ht="14.25" hidden="1" thickBot="1">
      <c r="B145" s="11" t="s">
        <v>72</v>
      </c>
      <c r="C145" s="12">
        <v>1175368</v>
      </c>
      <c r="D145" s="12">
        <f>80190.43+139702.85</f>
        <v>219893.28</v>
      </c>
      <c r="E145" s="10">
        <v>22.1</v>
      </c>
      <c r="F145" s="12">
        <v>63394</v>
      </c>
      <c r="G145" s="10">
        <v>0</v>
      </c>
      <c r="H145" s="19">
        <v>0</v>
      </c>
      <c r="I145" s="10">
        <v>156521.38</v>
      </c>
      <c r="J145" s="10">
        <v>139702.85</v>
      </c>
      <c r="K145" s="10"/>
      <c r="L145" s="10">
        <f t="shared" si="18"/>
        <v>296224.23</v>
      </c>
      <c r="M145" s="22">
        <f>F145/C145</f>
        <v>0.053935448302148775</v>
      </c>
    </row>
    <row r="146" spans="2:13" ht="14.25" hidden="1" thickBot="1">
      <c r="B146" s="11" t="s">
        <v>68</v>
      </c>
      <c r="C146" s="12">
        <v>14586232</v>
      </c>
      <c r="D146" s="12">
        <v>2917246.4</v>
      </c>
      <c r="E146" s="10"/>
      <c r="F146" s="12">
        <v>0</v>
      </c>
      <c r="G146" s="10">
        <f aca="true" t="shared" si="19" ref="G146:G166">D146+E146-F146</f>
        <v>2917246.4</v>
      </c>
      <c r="H146" s="19">
        <f>F146/(D146+E146)</f>
        <v>0</v>
      </c>
      <c r="I146" s="10">
        <v>2917246.4</v>
      </c>
      <c r="J146" s="10"/>
      <c r="K146" s="10"/>
      <c r="L146" s="10">
        <f t="shared" si="18"/>
        <v>2917246.4</v>
      </c>
      <c r="M146" s="22">
        <f>F146/C146</f>
        <v>0</v>
      </c>
    </row>
    <row r="147" spans="2:13" ht="14.25" hidden="1" thickBot="1">
      <c r="B147" s="11" t="s">
        <v>69</v>
      </c>
      <c r="C147" s="12">
        <v>26857139</v>
      </c>
      <c r="D147" s="12">
        <v>4519840.7</v>
      </c>
      <c r="E147" s="10"/>
      <c r="F147" s="12">
        <v>2794690.06</v>
      </c>
      <c r="G147" s="10">
        <f t="shared" si="19"/>
        <v>1725150.6400000001</v>
      </c>
      <c r="H147" s="19">
        <f>F147/(D147+E147)</f>
        <v>0.6183160525989334</v>
      </c>
      <c r="I147" s="10">
        <v>1876050.84</v>
      </c>
      <c r="J147" s="10"/>
      <c r="K147" s="10">
        <v>75593.5</v>
      </c>
      <c r="L147" s="10">
        <f t="shared" si="18"/>
        <v>1800457.34</v>
      </c>
      <c r="M147" s="22">
        <f>F147/C147</f>
        <v>0.10405762356146722</v>
      </c>
    </row>
    <row r="148" spans="2:13" ht="14.25" hidden="1" thickBot="1">
      <c r="B148" s="11" t="s">
        <v>70</v>
      </c>
      <c r="C148" s="12">
        <v>2000000</v>
      </c>
      <c r="D148" s="12">
        <v>955298</v>
      </c>
      <c r="E148" s="10"/>
      <c r="F148" s="12">
        <v>205440</v>
      </c>
      <c r="G148" s="10">
        <f t="shared" si="19"/>
        <v>749858</v>
      </c>
      <c r="H148" s="19">
        <v>0</v>
      </c>
      <c r="I148" s="10">
        <v>749858</v>
      </c>
      <c r="J148" s="10"/>
      <c r="K148" s="10"/>
      <c r="L148" s="10">
        <f t="shared" si="18"/>
        <v>749858</v>
      </c>
      <c r="M148" s="22">
        <f>F148/C148</f>
        <v>0.10272</v>
      </c>
    </row>
    <row r="149" spans="2:13" ht="14.25" hidden="1" thickBot="1">
      <c r="B149" s="11" t="s">
        <v>73</v>
      </c>
      <c r="C149" s="12">
        <v>0</v>
      </c>
      <c r="D149" s="12">
        <v>73346.93</v>
      </c>
      <c r="E149" s="10"/>
      <c r="F149" s="12">
        <v>0</v>
      </c>
      <c r="G149" s="10">
        <f t="shared" si="19"/>
        <v>73346.93</v>
      </c>
      <c r="H149" s="19">
        <v>0</v>
      </c>
      <c r="I149" s="10"/>
      <c r="J149" s="10">
        <v>247.14</v>
      </c>
      <c r="K149" s="10"/>
      <c r="L149" s="10">
        <f t="shared" si="18"/>
        <v>247.14</v>
      </c>
      <c r="M149" s="22"/>
    </row>
    <row r="150" spans="2:13" ht="14.25" hidden="1" thickBot="1">
      <c r="B150" s="8" t="s">
        <v>33</v>
      </c>
      <c r="C150" s="9">
        <f>SUM(C164:C165)</f>
        <v>0</v>
      </c>
      <c r="D150" s="9">
        <f>SUM(D164:D166)</f>
        <v>0</v>
      </c>
      <c r="E150" s="9">
        <f>SUM(E151:E166)</f>
        <v>9646.499999999998</v>
      </c>
      <c r="F150" s="9">
        <f>SUM(F151:F166)</f>
        <v>5628708.909999999</v>
      </c>
      <c r="G150" s="9">
        <f t="shared" si="19"/>
        <v>-5619062.409999999</v>
      </c>
      <c r="H150" s="19"/>
      <c r="I150" s="9">
        <f>SUM(I151:I166)</f>
        <v>4415338.17</v>
      </c>
      <c r="J150" s="9">
        <f>SUM(J164:J166)</f>
        <v>1392</v>
      </c>
      <c r="K150" s="9">
        <f>SUM(K164:K166)</f>
        <v>246647.89</v>
      </c>
      <c r="L150" s="9">
        <f>SUM(L164:L166)</f>
        <v>466160.74999999994</v>
      </c>
      <c r="M150" s="22">
        <v>0</v>
      </c>
    </row>
    <row r="151" spans="2:13" ht="14.25" hidden="1" thickBot="1">
      <c r="B151" s="11" t="s">
        <v>74</v>
      </c>
      <c r="C151" s="12">
        <v>26444293</v>
      </c>
      <c r="D151" s="12"/>
      <c r="E151" s="10">
        <v>3131.04</v>
      </c>
      <c r="F151" s="12">
        <v>575897</v>
      </c>
      <c r="G151" s="10">
        <f t="shared" si="19"/>
        <v>-572765.96</v>
      </c>
      <c r="H151" s="19">
        <v>0.59</v>
      </c>
      <c r="I151" s="10">
        <v>126530.48</v>
      </c>
      <c r="J151" s="10">
        <v>8811</v>
      </c>
      <c r="K151" s="10"/>
      <c r="L151" s="10">
        <f>I151+J151-K151</f>
        <v>135341.47999999998</v>
      </c>
      <c r="M151" s="22">
        <f>F151/C151</f>
        <v>0.02177774236581027</v>
      </c>
    </row>
    <row r="152" spans="2:13" ht="14.25" hidden="1" thickBot="1">
      <c r="B152" s="11" t="s">
        <v>44</v>
      </c>
      <c r="C152" s="12">
        <v>26444293</v>
      </c>
      <c r="D152" s="12"/>
      <c r="E152" s="10">
        <v>2956.56</v>
      </c>
      <c r="F152" s="12">
        <v>0</v>
      </c>
      <c r="G152" s="10">
        <f t="shared" si="19"/>
        <v>2956.56</v>
      </c>
      <c r="H152" s="19">
        <f>F152/(D152+E152)</f>
        <v>0</v>
      </c>
      <c r="I152" s="10">
        <v>69611.91</v>
      </c>
      <c r="J152" s="10">
        <v>255901.15</v>
      </c>
      <c r="K152" s="10">
        <f>-42.69+70736.47</f>
        <v>70693.78</v>
      </c>
      <c r="L152" s="10">
        <f aca="true" t="shared" si="20" ref="L152:L166">I152+J152-K152</f>
        <v>254819.28</v>
      </c>
      <c r="M152" s="22">
        <f>F152/C152</f>
        <v>0</v>
      </c>
    </row>
    <row r="153" spans="2:13" ht="14.25" hidden="1" thickBot="1">
      <c r="B153" s="11" t="s">
        <v>45</v>
      </c>
      <c r="C153" s="12">
        <v>12591512</v>
      </c>
      <c r="D153" s="12"/>
      <c r="E153" s="10">
        <v>1471.93</v>
      </c>
      <c r="F153" s="12">
        <v>1931794.12</v>
      </c>
      <c r="G153" s="10">
        <f t="shared" si="19"/>
        <v>-1930322.1900000002</v>
      </c>
      <c r="H153" s="19">
        <v>0.16</v>
      </c>
      <c r="I153" s="10">
        <v>600685.23</v>
      </c>
      <c r="J153" s="10"/>
      <c r="K153" s="10">
        <f>139647.88+26845.47</f>
        <v>166493.35</v>
      </c>
      <c r="L153" s="10">
        <f t="shared" si="20"/>
        <v>434191.88</v>
      </c>
      <c r="M153" s="22">
        <f aca="true" t="shared" si="21" ref="M153:M161">F153/C153</f>
        <v>0.15342034538822663</v>
      </c>
    </row>
    <row r="154" spans="2:13" ht="14.25" hidden="1" thickBot="1">
      <c r="B154" s="11" t="s">
        <v>46</v>
      </c>
      <c r="C154" s="12">
        <v>25407614.43</v>
      </c>
      <c r="D154" s="12"/>
      <c r="E154" s="10">
        <v>293.05</v>
      </c>
      <c r="F154" s="12">
        <v>0</v>
      </c>
      <c r="G154" s="10">
        <f t="shared" si="19"/>
        <v>293.05</v>
      </c>
      <c r="H154" s="19">
        <f>F154/(D154+E154)</f>
        <v>0</v>
      </c>
      <c r="I154" s="10">
        <v>77281.37</v>
      </c>
      <c r="J154" s="10"/>
      <c r="K154" s="10"/>
      <c r="L154" s="10">
        <f t="shared" si="20"/>
        <v>77281.37</v>
      </c>
      <c r="M154" s="22">
        <f t="shared" si="21"/>
        <v>0</v>
      </c>
    </row>
    <row r="155" spans="2:13" ht="14.25" hidden="1" thickBot="1">
      <c r="B155" s="11" t="s">
        <v>47</v>
      </c>
      <c r="C155" s="12">
        <v>1057470</v>
      </c>
      <c r="D155" s="12"/>
      <c r="E155" s="10">
        <v>214.44</v>
      </c>
      <c r="F155" s="12">
        <v>96236.08</v>
      </c>
      <c r="G155" s="10">
        <f t="shared" si="19"/>
        <v>-96021.64</v>
      </c>
      <c r="H155" s="19">
        <f>F155/(D155+E155)</f>
        <v>448.7785860846857</v>
      </c>
      <c r="I155" s="10">
        <v>10102.79</v>
      </c>
      <c r="J155" s="10"/>
      <c r="K155" s="10">
        <v>8843.68</v>
      </c>
      <c r="L155" s="10">
        <f t="shared" si="20"/>
        <v>1259.1100000000006</v>
      </c>
      <c r="M155" s="22">
        <f t="shared" si="21"/>
        <v>0.09100596707235194</v>
      </c>
    </row>
    <row r="156" spans="2:13" ht="14.25" hidden="1" thickBot="1">
      <c r="B156" s="11" t="s">
        <v>48</v>
      </c>
      <c r="C156" s="12">
        <v>12329603</v>
      </c>
      <c r="D156" s="12"/>
      <c r="E156" s="10">
        <v>0</v>
      </c>
      <c r="F156" s="12">
        <v>2048744.56</v>
      </c>
      <c r="G156" s="10">
        <f t="shared" si="19"/>
        <v>-2048744.56</v>
      </c>
      <c r="H156" s="19">
        <v>0</v>
      </c>
      <c r="I156" s="10">
        <v>1983046.48</v>
      </c>
      <c r="J156" s="10"/>
      <c r="K156" s="10">
        <v>43500</v>
      </c>
      <c r="L156" s="10">
        <f t="shared" si="20"/>
        <v>1939546.48</v>
      </c>
      <c r="M156" s="22">
        <f t="shared" si="21"/>
        <v>0.16616468186364153</v>
      </c>
    </row>
    <row r="157" spans="2:13" ht="14.25" hidden="1" thickBot="1">
      <c r="B157" s="11" t="s">
        <v>49</v>
      </c>
      <c r="C157" s="12">
        <v>1167126</v>
      </c>
      <c r="D157" s="12"/>
      <c r="E157" s="10">
        <v>135.71</v>
      </c>
      <c r="F157" s="12">
        <v>307056.51</v>
      </c>
      <c r="G157" s="10">
        <f t="shared" si="19"/>
        <v>-306920.8</v>
      </c>
      <c r="H157" s="19">
        <v>0.36</v>
      </c>
      <c r="I157" s="10">
        <v>0</v>
      </c>
      <c r="J157" s="10"/>
      <c r="K157" s="10"/>
      <c r="L157" s="10">
        <f t="shared" si="20"/>
        <v>0</v>
      </c>
      <c r="M157" s="22">
        <f t="shared" si="21"/>
        <v>0.26308771289475175</v>
      </c>
    </row>
    <row r="158" spans="2:13" ht="14.25" hidden="1" thickBot="1">
      <c r="B158" s="11" t="s">
        <v>50</v>
      </c>
      <c r="C158" s="12">
        <v>161698</v>
      </c>
      <c r="D158" s="12"/>
      <c r="E158" s="10">
        <v>60.16</v>
      </c>
      <c r="F158" s="12">
        <v>0</v>
      </c>
      <c r="G158" s="10">
        <f t="shared" si="19"/>
        <v>60.16</v>
      </c>
      <c r="H158" s="19">
        <f>F158/(D158+E158)</f>
        <v>0</v>
      </c>
      <c r="I158" s="10">
        <v>47965.27</v>
      </c>
      <c r="J158" s="10"/>
      <c r="K158" s="10"/>
      <c r="L158" s="10">
        <f t="shared" si="20"/>
        <v>47965.27</v>
      </c>
      <c r="M158" s="22">
        <f t="shared" si="21"/>
        <v>0</v>
      </c>
    </row>
    <row r="159" spans="2:13" ht="14.25" hidden="1" thickBot="1">
      <c r="B159" s="11" t="s">
        <v>51</v>
      </c>
      <c r="C159" s="12">
        <v>44192</v>
      </c>
      <c r="D159" s="12"/>
      <c r="E159" s="10">
        <v>9.88</v>
      </c>
      <c r="F159" s="12">
        <v>0</v>
      </c>
      <c r="G159" s="10">
        <f t="shared" si="19"/>
        <v>9.88</v>
      </c>
      <c r="H159" s="19">
        <f>F159/(D159+E159)</f>
        <v>0</v>
      </c>
      <c r="I159" s="10">
        <v>20675.79</v>
      </c>
      <c r="J159" s="10"/>
      <c r="K159" s="10">
        <v>139702.85</v>
      </c>
      <c r="L159" s="10">
        <f t="shared" si="20"/>
        <v>-119027.06</v>
      </c>
      <c r="M159" s="22">
        <f t="shared" si="21"/>
        <v>0</v>
      </c>
    </row>
    <row r="160" spans="2:13" ht="14.25" hidden="1" thickBot="1">
      <c r="B160" s="11" t="s">
        <v>52</v>
      </c>
      <c r="C160" s="12">
        <v>439401</v>
      </c>
      <c r="D160" s="12"/>
      <c r="E160" s="10">
        <v>115.5</v>
      </c>
      <c r="F160" s="12">
        <v>0</v>
      </c>
      <c r="G160" s="10">
        <f t="shared" si="19"/>
        <v>115.5</v>
      </c>
      <c r="H160" s="19">
        <f>F160/(D160+E160)</f>
        <v>0</v>
      </c>
      <c r="I160" s="10">
        <v>30493.66</v>
      </c>
      <c r="J160" s="10"/>
      <c r="K160" s="10">
        <v>251661.15</v>
      </c>
      <c r="L160" s="10">
        <f t="shared" si="20"/>
        <v>-221167.49</v>
      </c>
      <c r="M160" s="22">
        <f t="shared" si="21"/>
        <v>0</v>
      </c>
    </row>
    <row r="161" spans="2:13" ht="14.25" hidden="1" thickBot="1">
      <c r="B161" s="11" t="s">
        <v>53</v>
      </c>
      <c r="C161" s="12">
        <v>102492.78</v>
      </c>
      <c r="D161" s="12"/>
      <c r="E161" s="10">
        <v>0</v>
      </c>
      <c r="F161" s="12">
        <v>56238</v>
      </c>
      <c r="G161" s="10">
        <f t="shared" si="19"/>
        <v>-56238</v>
      </c>
      <c r="H161" s="19">
        <v>0</v>
      </c>
      <c r="I161" s="10">
        <v>78297.26</v>
      </c>
      <c r="J161" s="10">
        <v>8843.68</v>
      </c>
      <c r="K161" s="10"/>
      <c r="L161" s="10">
        <f t="shared" si="20"/>
        <v>87140.94</v>
      </c>
      <c r="M161" s="22">
        <f t="shared" si="21"/>
        <v>0.5487020646722628</v>
      </c>
    </row>
    <row r="162" spans="2:13" ht="14.25" hidden="1" thickBot="1">
      <c r="B162" s="11" t="s">
        <v>55</v>
      </c>
      <c r="C162" s="12">
        <v>0</v>
      </c>
      <c r="D162" s="12"/>
      <c r="E162" s="10">
        <v>720.39</v>
      </c>
      <c r="F162" s="12">
        <v>558242.64</v>
      </c>
      <c r="G162" s="10">
        <f t="shared" si="19"/>
        <v>-557522.25</v>
      </c>
      <c r="H162" s="19">
        <v>0.04</v>
      </c>
      <c r="I162" s="10">
        <v>557061.43</v>
      </c>
      <c r="J162" s="10"/>
      <c r="K162" s="10">
        <v>0</v>
      </c>
      <c r="L162" s="10">
        <f t="shared" si="20"/>
        <v>557061.43</v>
      </c>
      <c r="M162" s="22">
        <v>0</v>
      </c>
    </row>
    <row r="163" spans="2:13" ht="14.25" hidden="1" thickBot="1">
      <c r="B163" s="11" t="s">
        <v>58</v>
      </c>
      <c r="C163" s="12">
        <v>0</v>
      </c>
      <c r="D163" s="12"/>
      <c r="E163" s="10">
        <v>0</v>
      </c>
      <c r="F163" s="12">
        <v>54500</v>
      </c>
      <c r="G163" s="10">
        <f t="shared" si="19"/>
        <v>-54500</v>
      </c>
      <c r="H163" s="19">
        <v>0</v>
      </c>
      <c r="I163" s="10">
        <v>102169.86</v>
      </c>
      <c r="J163" s="10"/>
      <c r="K163" s="10"/>
      <c r="L163" s="10">
        <f t="shared" si="20"/>
        <v>102169.86</v>
      </c>
      <c r="M163" s="22">
        <v>0</v>
      </c>
    </row>
    <row r="164" spans="2:13" ht="14.25" hidden="1" thickBot="1">
      <c r="B164" s="11" t="s">
        <v>41</v>
      </c>
      <c r="C164" s="12">
        <v>0</v>
      </c>
      <c r="D164" s="12"/>
      <c r="E164" s="10">
        <v>16.51</v>
      </c>
      <c r="F164" s="12">
        <v>0</v>
      </c>
      <c r="G164" s="10">
        <f t="shared" si="19"/>
        <v>16.51</v>
      </c>
      <c r="H164" s="19">
        <v>0</v>
      </c>
      <c r="I164" s="10">
        <v>35532.72</v>
      </c>
      <c r="J164" s="10">
        <v>0</v>
      </c>
      <c r="K164" s="10">
        <v>0</v>
      </c>
      <c r="L164" s="10">
        <f t="shared" si="20"/>
        <v>35532.72</v>
      </c>
      <c r="M164" s="22">
        <v>0</v>
      </c>
    </row>
    <row r="165" spans="2:13" ht="14.25" hidden="1" thickBot="1">
      <c r="B165" s="11" t="s">
        <v>56</v>
      </c>
      <c r="C165" s="12"/>
      <c r="D165" s="12"/>
      <c r="E165" s="10">
        <f>73.6+33.68</f>
        <v>107.28</v>
      </c>
      <c r="F165" s="12">
        <v>0</v>
      </c>
      <c r="G165" s="10">
        <f t="shared" si="19"/>
        <v>107.28</v>
      </c>
      <c r="H165" s="19">
        <f>F165/(D165+E165)</f>
        <v>0</v>
      </c>
      <c r="I165" s="10">
        <f>113161.24+115.58+51772.41</f>
        <v>165049.23</v>
      </c>
      <c r="J165" s="10">
        <v>0</v>
      </c>
      <c r="K165" s="10">
        <v>0</v>
      </c>
      <c r="L165" s="10">
        <f t="shared" si="20"/>
        <v>165049.23</v>
      </c>
      <c r="M165" s="22">
        <v>0</v>
      </c>
    </row>
    <row r="166" spans="2:13" ht="14.25" hidden="1" thickBot="1">
      <c r="B166" s="11" t="s">
        <v>43</v>
      </c>
      <c r="C166" s="12">
        <v>0</v>
      </c>
      <c r="D166" s="12"/>
      <c r="E166" s="10">
        <f>5.03+159.55+37.69+59.92+62.45+89.41</f>
        <v>414.04999999999995</v>
      </c>
      <c r="F166" s="12">
        <v>0</v>
      </c>
      <c r="G166" s="10">
        <f t="shared" si="19"/>
        <v>414.04999999999995</v>
      </c>
      <c r="H166" s="19">
        <f>F166/(D166+E166)</f>
        <v>0</v>
      </c>
      <c r="I166" s="10">
        <f>10479.47+245318.56+57949.7+8076.49+92124.85+875.23+96010.39</f>
        <v>510834.68999999994</v>
      </c>
      <c r="J166" s="10">
        <f>696+696</f>
        <v>1392</v>
      </c>
      <c r="K166" s="10">
        <f>148258.24+6806.29+91583.36</f>
        <v>246647.89</v>
      </c>
      <c r="L166" s="10">
        <f t="shared" si="20"/>
        <v>265578.79999999993</v>
      </c>
      <c r="M166" s="22">
        <v>0</v>
      </c>
    </row>
    <row r="167" spans="2:13" ht="14.25" hidden="1" thickBot="1">
      <c r="B167" s="13" t="s">
        <v>7</v>
      </c>
      <c r="C167" s="9">
        <f>C129+C136+C150</f>
        <v>104084927.75</v>
      </c>
      <c r="D167" s="9">
        <f>D129+D136+D150</f>
        <v>21916370.09</v>
      </c>
      <c r="E167" s="9">
        <f>E129+E136+E150</f>
        <v>9668.599999999999</v>
      </c>
      <c r="F167" s="9">
        <f>F129+F136+F150</f>
        <v>14196856.05</v>
      </c>
      <c r="G167" s="9">
        <f>D167+E167-F167</f>
        <v>7729182.640000001</v>
      </c>
      <c r="H167" s="20"/>
      <c r="I167" s="9">
        <f>I150+I136+I129</f>
        <v>18071240.54</v>
      </c>
      <c r="J167" s="9">
        <f>J150+J136+J129</f>
        <v>219350.75</v>
      </c>
      <c r="K167" s="9">
        <f>K150+K136+K129</f>
        <v>628165.55</v>
      </c>
      <c r="L167" s="9">
        <f>L150+L136+L129</f>
        <v>13958504.21</v>
      </c>
      <c r="M167" s="23"/>
    </row>
    <row r="168" spans="2:13" ht="9" customHeight="1" hidden="1">
      <c r="B168" s="51"/>
      <c r="C168" s="52"/>
      <c r="D168" s="52"/>
      <c r="E168" s="52"/>
      <c r="F168" s="52"/>
      <c r="G168" s="52"/>
      <c r="H168" s="53"/>
      <c r="I168" s="52"/>
      <c r="J168" s="52"/>
      <c r="K168" s="52"/>
      <c r="L168" s="52"/>
      <c r="M168" s="54"/>
    </row>
    <row r="169" spans="2:13" ht="13.5" hidden="1" thickBot="1">
      <c r="B169" s="25"/>
      <c r="C169" s="26"/>
      <c r="D169" s="98" t="s">
        <v>11</v>
      </c>
      <c r="E169" s="98"/>
      <c r="F169" s="98"/>
      <c r="G169" s="98"/>
      <c r="H169" s="98"/>
      <c r="I169" s="98"/>
      <c r="J169" s="98"/>
      <c r="K169" s="26"/>
      <c r="L169" s="26"/>
      <c r="M169" s="47"/>
    </row>
    <row r="170" spans="2:13" ht="14.25" hidden="1" thickBot="1">
      <c r="B170" s="25"/>
      <c r="C170" s="99" t="s">
        <v>3</v>
      </c>
      <c r="D170" s="99"/>
      <c r="E170" s="118" t="s">
        <v>4</v>
      </c>
      <c r="F170" s="119"/>
      <c r="G170" s="119"/>
      <c r="H170" s="120"/>
      <c r="I170" s="63" t="s">
        <v>54</v>
      </c>
      <c r="J170" s="28" t="s">
        <v>0</v>
      </c>
      <c r="K170" s="25"/>
      <c r="L170" s="29"/>
      <c r="M170" s="30"/>
    </row>
    <row r="171" spans="2:13" ht="14.25" hidden="1" thickBot="1">
      <c r="B171" s="25"/>
      <c r="C171" s="103" t="s">
        <v>31</v>
      </c>
      <c r="D171" s="103"/>
      <c r="E171" s="92">
        <v>5971553.53</v>
      </c>
      <c r="F171" s="93"/>
      <c r="G171" s="93"/>
      <c r="H171" s="94"/>
      <c r="I171" s="45">
        <v>500158.33</v>
      </c>
      <c r="J171" s="31">
        <v>0.08</v>
      </c>
      <c r="K171" s="25"/>
      <c r="L171" s="29"/>
      <c r="M171" s="30"/>
    </row>
    <row r="172" spans="2:13" ht="14.25" hidden="1" thickBot="1">
      <c r="B172" s="25"/>
      <c r="C172" s="91" t="s">
        <v>32</v>
      </c>
      <c r="D172" s="91"/>
      <c r="E172" s="92">
        <v>5748248.07</v>
      </c>
      <c r="F172" s="93"/>
      <c r="G172" s="93"/>
      <c r="H172" s="94"/>
      <c r="I172" s="45">
        <v>325802.42</v>
      </c>
      <c r="J172" s="31">
        <v>0.06</v>
      </c>
      <c r="K172" s="26"/>
      <c r="L172" s="29"/>
      <c r="M172" s="30"/>
    </row>
    <row r="173" spans="2:13" ht="5.25" customHeight="1" hidden="1">
      <c r="B173" s="25"/>
      <c r="C173" s="48"/>
      <c r="D173" s="48"/>
      <c r="E173" s="49"/>
      <c r="F173" s="49"/>
      <c r="G173" s="49"/>
      <c r="H173" s="49"/>
      <c r="I173" s="49"/>
      <c r="J173" s="50"/>
      <c r="K173" s="26"/>
      <c r="L173" s="29"/>
      <c r="M173" s="30"/>
    </row>
    <row r="174" spans="2:13" ht="17.25" hidden="1" thickBot="1">
      <c r="B174" s="32"/>
      <c r="C174" s="95" t="s">
        <v>5</v>
      </c>
      <c r="D174" s="95"/>
      <c r="E174" s="33"/>
      <c r="F174" s="34"/>
      <c r="G174" s="34"/>
      <c r="H174" s="34" t="s">
        <v>28</v>
      </c>
      <c r="I174" s="35"/>
      <c r="J174" s="96" t="s">
        <v>29</v>
      </c>
      <c r="K174" s="96"/>
      <c r="L174" s="96"/>
      <c r="M174" s="36"/>
    </row>
    <row r="175" spans="2:13" ht="9.75" customHeight="1" hidden="1">
      <c r="B175" s="32"/>
      <c r="C175" s="37"/>
      <c r="D175" s="64"/>
      <c r="E175" s="33"/>
      <c r="F175" s="34"/>
      <c r="G175" s="34"/>
      <c r="H175" s="38"/>
      <c r="I175" s="35"/>
      <c r="J175" s="39"/>
      <c r="K175" s="39"/>
      <c r="L175" s="40"/>
      <c r="M175" s="36"/>
    </row>
    <row r="176" spans="2:13" ht="17.25" hidden="1" thickBot="1">
      <c r="B176" s="41"/>
      <c r="C176" s="95" t="s">
        <v>30</v>
      </c>
      <c r="D176" s="95"/>
      <c r="E176" s="33"/>
      <c r="F176" s="34"/>
      <c r="G176" s="34"/>
      <c r="H176" s="34" t="s">
        <v>38</v>
      </c>
      <c r="I176" s="35"/>
      <c r="J176" s="96" t="s">
        <v>39</v>
      </c>
      <c r="K176" s="96"/>
      <c r="L176" s="96"/>
      <c r="M176" s="18"/>
    </row>
    <row r="177" spans="2:13" ht="17.25" hidden="1" thickBot="1">
      <c r="B177" s="41"/>
      <c r="C177" s="88" t="s">
        <v>40</v>
      </c>
      <c r="D177" s="89"/>
      <c r="E177" s="33"/>
      <c r="F177" s="42"/>
      <c r="G177" s="42"/>
      <c r="H177" s="42" t="s">
        <v>36</v>
      </c>
      <c r="I177" s="35"/>
      <c r="J177" s="90" t="s">
        <v>37</v>
      </c>
      <c r="K177" s="90"/>
      <c r="L177" s="90"/>
      <c r="M177" s="24"/>
    </row>
    <row r="178" spans="2:13" ht="16.5" hidden="1" thickBot="1">
      <c r="B178" s="46" t="s">
        <v>34</v>
      </c>
      <c r="C178" s="43"/>
      <c r="D178" s="43"/>
      <c r="E178" s="43"/>
      <c r="F178" s="44"/>
      <c r="G178" s="44"/>
      <c r="H178" s="27"/>
      <c r="I178" s="43"/>
      <c r="J178" s="44"/>
      <c r="K178" s="43"/>
      <c r="L178" s="43"/>
      <c r="M178" s="24"/>
    </row>
    <row r="179" spans="2:10" ht="13.5" hidden="1" thickBot="1">
      <c r="B179" s="77" t="s">
        <v>79</v>
      </c>
      <c r="D179" s="121" t="s">
        <v>80</v>
      </c>
      <c r="E179" s="122"/>
      <c r="F179" s="123"/>
      <c r="H179" s="127" t="s">
        <v>78</v>
      </c>
      <c r="I179" s="128"/>
      <c r="J179" s="128"/>
    </row>
    <row r="180" spans="1:13" ht="15.75" hidden="1">
      <c r="A180" s="25"/>
      <c r="B180" s="111" t="s">
        <v>26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1:13" ht="15.75" hidden="1">
      <c r="A181" s="25"/>
      <c r="B181" s="79"/>
      <c r="C181" s="80"/>
      <c r="D181" s="80"/>
      <c r="E181" s="80"/>
      <c r="F181" s="80"/>
      <c r="G181" s="80"/>
      <c r="H181" s="81"/>
      <c r="I181" s="80"/>
      <c r="J181" s="80"/>
      <c r="K181" s="80"/>
      <c r="L181" s="80"/>
      <c r="M181" s="81"/>
    </row>
    <row r="182" spans="1:13" ht="15.75" hidden="1">
      <c r="A182" s="25"/>
      <c r="B182" s="111" t="s">
        <v>6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ht="16.5" hidden="1">
      <c r="A183" s="25"/>
      <c r="B183" s="112" t="s">
        <v>60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3" ht="16.5" hidden="1">
      <c r="A184" s="25"/>
      <c r="B184" s="113" t="s">
        <v>77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15.75" hidden="1">
      <c r="A185" s="25"/>
      <c r="B185" s="82" t="s">
        <v>15</v>
      </c>
      <c r="C185" s="83"/>
      <c r="D185" s="83"/>
      <c r="E185" s="83"/>
      <c r="F185" s="83"/>
      <c r="G185" s="83"/>
      <c r="H185" s="84"/>
      <c r="I185" s="83"/>
      <c r="J185" s="83"/>
      <c r="K185" s="83"/>
      <c r="L185" s="83"/>
      <c r="M185" s="84"/>
    </row>
    <row r="186" spans="3:12" ht="12" customHeight="1" hidden="1">
      <c r="C186" s="2"/>
      <c r="D186" s="104" t="s">
        <v>1</v>
      </c>
      <c r="E186" s="104"/>
      <c r="F186" s="105"/>
      <c r="G186" s="105"/>
      <c r="H186" s="105"/>
      <c r="I186" s="104" t="s">
        <v>2</v>
      </c>
      <c r="J186" s="104"/>
      <c r="K186" s="104"/>
      <c r="L186" s="104"/>
    </row>
    <row r="187" spans="2:13" ht="13.5" customHeight="1" hidden="1">
      <c r="B187" s="106" t="s">
        <v>8</v>
      </c>
      <c r="C187" s="108" t="s">
        <v>12</v>
      </c>
      <c r="D187" s="108" t="s">
        <v>13</v>
      </c>
      <c r="E187" s="108" t="s">
        <v>16</v>
      </c>
      <c r="F187" s="97" t="s">
        <v>14</v>
      </c>
      <c r="G187" s="61"/>
      <c r="H187" s="97" t="s">
        <v>0</v>
      </c>
      <c r="I187" s="97" t="s">
        <v>22</v>
      </c>
      <c r="J187" s="97" t="s">
        <v>23</v>
      </c>
      <c r="K187" s="97" t="s">
        <v>24</v>
      </c>
      <c r="L187" s="97" t="s">
        <v>25</v>
      </c>
      <c r="M187" s="62" t="s">
        <v>9</v>
      </c>
    </row>
    <row r="188" spans="2:13" ht="30" customHeight="1" hidden="1">
      <c r="B188" s="107"/>
      <c r="C188" s="108"/>
      <c r="D188" s="108"/>
      <c r="E188" s="108"/>
      <c r="F188" s="97"/>
      <c r="G188" s="61"/>
      <c r="H188" s="97"/>
      <c r="I188" s="97"/>
      <c r="J188" s="97"/>
      <c r="K188" s="97"/>
      <c r="L188" s="97"/>
      <c r="M188" s="1" t="s">
        <v>10</v>
      </c>
    </row>
    <row r="189" spans="2:13" ht="13.5" hidden="1">
      <c r="B189" s="8" t="s">
        <v>35</v>
      </c>
      <c r="C189" s="9">
        <f>SUM(C190:C195)</f>
        <v>10977566.75</v>
      </c>
      <c r="D189" s="9">
        <f>SUM(D190:D195)</f>
        <v>3681326.62</v>
      </c>
      <c r="E189" s="9">
        <f>SUM(E190:E195)</f>
        <v>0</v>
      </c>
      <c r="F189" s="9">
        <f>SUM(F190:F195)</f>
        <v>1532476.74</v>
      </c>
      <c r="G189" s="9">
        <f>D189+E189-F189</f>
        <v>2148849.88</v>
      </c>
      <c r="H189" s="19">
        <f>F189/(D189+E189)</f>
        <v>0.4162838286813029</v>
      </c>
      <c r="I189" s="9">
        <f>SUM(I190:I195)</f>
        <v>2131837.1799999997</v>
      </c>
      <c r="J189" s="9">
        <f>SUM(J190:J195)</f>
        <v>18763.2</v>
      </c>
      <c r="K189" s="9">
        <f>K190</f>
        <v>8811</v>
      </c>
      <c r="L189" s="9">
        <f>I189+J189-K189</f>
        <v>2141789.38</v>
      </c>
      <c r="M189" s="22">
        <f>F189/C189</f>
        <v>0.1396007671736544</v>
      </c>
    </row>
    <row r="190" spans="2:13" ht="13.5" hidden="1">
      <c r="B190" s="11" t="s">
        <v>17</v>
      </c>
      <c r="C190" s="12">
        <v>3664251.75</v>
      </c>
      <c r="D190" s="12">
        <v>2188470</v>
      </c>
      <c r="E190" s="10">
        <v>0</v>
      </c>
      <c r="F190" s="12">
        <f>1532476.74</f>
        <v>1532476.74</v>
      </c>
      <c r="G190" s="10"/>
      <c r="H190" s="19"/>
      <c r="I190" s="10">
        <f>1457877.89+673959.29</f>
        <v>2131837.1799999997</v>
      </c>
      <c r="J190" s="10">
        <v>18763.2</v>
      </c>
      <c r="K190" s="10">
        <v>8811</v>
      </c>
      <c r="L190" s="10">
        <f>I190+J190-K190</f>
        <v>2141789.38</v>
      </c>
      <c r="M190" s="22"/>
    </row>
    <row r="191" spans="2:13" ht="13.5" hidden="1">
      <c r="B191" s="11" t="s">
        <v>18</v>
      </c>
      <c r="C191" s="12">
        <v>5583543</v>
      </c>
      <c r="D191" s="12">
        <v>1229690.12</v>
      </c>
      <c r="E191" s="10">
        <v>0</v>
      </c>
      <c r="F191" s="12">
        <v>0</v>
      </c>
      <c r="G191" s="10"/>
      <c r="H191" s="19"/>
      <c r="I191" s="10">
        <v>0</v>
      </c>
      <c r="J191" s="10">
        <v>0</v>
      </c>
      <c r="K191" s="10">
        <v>0</v>
      </c>
      <c r="L191" s="10">
        <v>0</v>
      </c>
      <c r="M191" s="22"/>
    </row>
    <row r="192" spans="2:13" ht="13.5" hidden="1">
      <c r="B192" s="11" t="s">
        <v>19</v>
      </c>
      <c r="C192" s="12">
        <v>543559</v>
      </c>
      <c r="D192" s="12">
        <v>206260.5</v>
      </c>
      <c r="E192" s="10">
        <v>0</v>
      </c>
      <c r="F192" s="12">
        <v>0</v>
      </c>
      <c r="G192" s="10"/>
      <c r="H192" s="19"/>
      <c r="I192" s="10">
        <v>0</v>
      </c>
      <c r="J192" s="10">
        <v>0</v>
      </c>
      <c r="K192" s="10">
        <v>0</v>
      </c>
      <c r="L192" s="10">
        <v>0</v>
      </c>
      <c r="M192" s="22"/>
    </row>
    <row r="193" spans="2:13" ht="13.5" hidden="1">
      <c r="B193" s="11" t="s">
        <v>20</v>
      </c>
      <c r="C193" s="12">
        <v>1186213</v>
      </c>
      <c r="D193" s="12">
        <v>56906</v>
      </c>
      <c r="E193" s="10">
        <v>0</v>
      </c>
      <c r="F193" s="12">
        <v>0</v>
      </c>
      <c r="G193" s="10"/>
      <c r="H193" s="19"/>
      <c r="I193" s="10">
        <v>0</v>
      </c>
      <c r="J193" s="10">
        <v>0</v>
      </c>
      <c r="K193" s="10">
        <v>0</v>
      </c>
      <c r="L193" s="10">
        <v>0</v>
      </c>
      <c r="M193" s="22"/>
    </row>
    <row r="194" spans="2:13" ht="13.5" hidden="1">
      <c r="B194" s="11" t="s">
        <v>21</v>
      </c>
      <c r="C194" s="12">
        <v>0</v>
      </c>
      <c r="D194" s="12">
        <v>0</v>
      </c>
      <c r="E194" s="10">
        <v>0</v>
      </c>
      <c r="F194" s="12">
        <v>0</v>
      </c>
      <c r="G194" s="10"/>
      <c r="H194" s="19"/>
      <c r="I194" s="10">
        <v>0</v>
      </c>
      <c r="J194" s="10">
        <v>0</v>
      </c>
      <c r="K194" s="10">
        <v>0</v>
      </c>
      <c r="L194" s="10">
        <v>0</v>
      </c>
      <c r="M194" s="22"/>
    </row>
    <row r="195" spans="2:13" ht="13.5" hidden="1">
      <c r="B195" s="11" t="s">
        <v>42</v>
      </c>
      <c r="C195" s="12">
        <v>0</v>
      </c>
      <c r="D195" s="12">
        <v>0</v>
      </c>
      <c r="E195" s="10">
        <v>0</v>
      </c>
      <c r="F195" s="12">
        <v>0</v>
      </c>
      <c r="G195" s="10"/>
      <c r="H195" s="19"/>
      <c r="I195" s="10">
        <v>0</v>
      </c>
      <c r="J195" s="10">
        <v>0</v>
      </c>
      <c r="K195" s="10">
        <v>0</v>
      </c>
      <c r="L195" s="10">
        <v>0</v>
      </c>
      <c r="M195" s="22"/>
    </row>
    <row r="196" spans="2:13" ht="13.5" hidden="1">
      <c r="B196" s="8" t="s">
        <v>27</v>
      </c>
      <c r="C196" s="9">
        <f>SUM(C197:C208)</f>
        <v>93369266.19</v>
      </c>
      <c r="D196" s="9">
        <f>SUM(D197:D209)</f>
        <v>27210209.25</v>
      </c>
      <c r="E196" s="9">
        <f>SUM(E197:E208)</f>
        <v>22.1</v>
      </c>
      <c r="F196" s="9">
        <f>SUM(F197:F209)</f>
        <v>11261483.49</v>
      </c>
      <c r="G196" s="9">
        <f>D196+E196-F196</f>
        <v>15948747.860000001</v>
      </c>
      <c r="H196" s="19">
        <f>F196/(D196+E196)</f>
        <v>0.41386945025000677</v>
      </c>
      <c r="I196" s="9">
        <f>SUM(I197:I208)</f>
        <v>16246538.689999998</v>
      </c>
      <c r="J196" s="9">
        <f>SUM(J197:J208)</f>
        <v>213032.11000000002</v>
      </c>
      <c r="K196" s="9">
        <f>SUM(K197:K208)</f>
        <v>298283.47</v>
      </c>
      <c r="L196" s="9">
        <f>SUM(L197:L208)</f>
        <v>16161287.329999998</v>
      </c>
      <c r="M196" s="22">
        <f aca="true" t="shared" si="22" ref="M196:M203">F196/C196</f>
        <v>0.12061231655268298</v>
      </c>
    </row>
    <row r="197" spans="2:14" ht="13.5" hidden="1">
      <c r="B197" s="70" t="s">
        <v>61</v>
      </c>
      <c r="C197" s="71">
        <v>31868879</v>
      </c>
      <c r="D197" s="71">
        <v>12514619.14</v>
      </c>
      <c r="E197" s="72"/>
      <c r="F197" s="71">
        <v>7652818.4</v>
      </c>
      <c r="G197" s="72">
        <f>D197+E197-F197</f>
        <v>4861800.74</v>
      </c>
      <c r="H197" s="73">
        <f>F197/(D197+E197)</f>
        <v>0.611510291634812</v>
      </c>
      <c r="I197" s="72">
        <v>5083686.77</v>
      </c>
      <c r="J197" s="72">
        <f>556.8</f>
        <v>556.8</v>
      </c>
      <c r="K197" s="72">
        <f>137849.73+57101.2+27491.9</f>
        <v>222442.83</v>
      </c>
      <c r="L197" s="72">
        <f>I197+J197-K197</f>
        <v>4861800.739999999</v>
      </c>
      <c r="M197" s="75">
        <f t="shared" si="22"/>
        <v>0.2401345337562705</v>
      </c>
      <c r="N197" s="74"/>
    </row>
    <row r="198" spans="2:13" ht="13.5" hidden="1">
      <c r="B198" s="11" t="s">
        <v>62</v>
      </c>
      <c r="C198" s="68">
        <v>13235444</v>
      </c>
      <c r="D198" s="12">
        <v>2454403.83</v>
      </c>
      <c r="E198" s="10"/>
      <c r="F198" s="12">
        <v>386052.58</v>
      </c>
      <c r="G198" s="10">
        <f aca="true" t="shared" si="23" ref="G198:G204">D198+E198-F198</f>
        <v>2068351.25</v>
      </c>
      <c r="H198" s="19">
        <f aca="true" t="shared" si="24" ref="H198:H204">F198/(D198+E198)</f>
        <v>0.1572897561849062</v>
      </c>
      <c r="I198" s="10">
        <v>2079874.6</v>
      </c>
      <c r="J198" s="10">
        <v>59353.5</v>
      </c>
      <c r="K198" s="10"/>
      <c r="L198" s="10">
        <f aca="true" t="shared" si="25" ref="L198:L209">I198+J198-K198</f>
        <v>2139228.1</v>
      </c>
      <c r="M198" s="22">
        <f t="shared" si="22"/>
        <v>0.029168086843176552</v>
      </c>
    </row>
    <row r="199" spans="2:13" ht="13.5" hidden="1">
      <c r="B199" s="11" t="s">
        <v>63</v>
      </c>
      <c r="C199" s="68">
        <v>1255332</v>
      </c>
      <c r="D199" s="12">
        <v>215822.82</v>
      </c>
      <c r="E199" s="10"/>
      <c r="F199" s="12">
        <v>44643.76</v>
      </c>
      <c r="G199" s="10">
        <f t="shared" si="23"/>
        <v>171179.06</v>
      </c>
      <c r="H199" s="19">
        <f t="shared" si="24"/>
        <v>0.20685375160976954</v>
      </c>
      <c r="I199" s="10">
        <v>171426.2</v>
      </c>
      <c r="J199" s="10"/>
      <c r="K199" s="10">
        <v>247.14</v>
      </c>
      <c r="L199" s="10">
        <f t="shared" si="25"/>
        <v>171179.06</v>
      </c>
      <c r="M199" s="22">
        <f t="shared" si="22"/>
        <v>0.035563309148496175</v>
      </c>
    </row>
    <row r="200" spans="2:14" ht="13.5" hidden="1">
      <c r="B200" s="70" t="s">
        <v>66</v>
      </c>
      <c r="C200" s="71">
        <v>54835</v>
      </c>
      <c r="D200" s="71">
        <v>18278.24</v>
      </c>
      <c r="E200" s="72"/>
      <c r="F200" s="71">
        <v>13641.44</v>
      </c>
      <c r="G200" s="72">
        <f t="shared" si="23"/>
        <v>4636.800000000001</v>
      </c>
      <c r="H200" s="73">
        <f t="shared" si="24"/>
        <v>0.7463213088349863</v>
      </c>
      <c r="I200" s="72">
        <v>4636.8</v>
      </c>
      <c r="J200" s="72"/>
      <c r="K200" s="72"/>
      <c r="L200" s="72">
        <f t="shared" si="25"/>
        <v>4636.8</v>
      </c>
      <c r="M200" s="75">
        <f t="shared" si="22"/>
        <v>0.2487724993161302</v>
      </c>
      <c r="N200" s="74"/>
    </row>
    <row r="201" spans="2:14" ht="13.5" hidden="1">
      <c r="B201" s="70" t="s">
        <v>64</v>
      </c>
      <c r="C201" s="71">
        <v>270270</v>
      </c>
      <c r="D201" s="71">
        <v>116120.43</v>
      </c>
      <c r="E201" s="72"/>
      <c r="F201" s="71">
        <v>46475.25</v>
      </c>
      <c r="G201" s="72">
        <f t="shared" si="23"/>
        <v>69645.18</v>
      </c>
      <c r="H201" s="73">
        <f t="shared" si="24"/>
        <v>0.40023318894013743</v>
      </c>
      <c r="I201" s="72">
        <v>69645.18</v>
      </c>
      <c r="J201" s="72"/>
      <c r="K201" s="72"/>
      <c r="L201" s="72">
        <f t="shared" si="25"/>
        <v>69645.18</v>
      </c>
      <c r="M201" s="75">
        <f t="shared" si="22"/>
        <v>0.17195859695859697</v>
      </c>
      <c r="N201" s="74"/>
    </row>
    <row r="202" spans="2:13" ht="13.5" hidden="1">
      <c r="B202" s="11" t="s">
        <v>71</v>
      </c>
      <c r="C202" s="68">
        <v>510916</v>
      </c>
      <c r="D202" s="12">
        <v>123081.35</v>
      </c>
      <c r="E202" s="10"/>
      <c r="F202" s="12">
        <v>36800</v>
      </c>
      <c r="G202" s="10">
        <f t="shared" si="23"/>
        <v>86281.35</v>
      </c>
      <c r="H202" s="19">
        <f t="shared" si="24"/>
        <v>0.2989892457305676</v>
      </c>
      <c r="I202" s="10">
        <v>86281.35</v>
      </c>
      <c r="J202" s="10"/>
      <c r="K202" s="10"/>
      <c r="L202" s="10">
        <f t="shared" si="25"/>
        <v>86281.35</v>
      </c>
      <c r="M202" s="22">
        <f t="shared" si="22"/>
        <v>0.0720274957135811</v>
      </c>
    </row>
    <row r="203" spans="2:13" ht="13.5" hidden="1">
      <c r="B203" s="11" t="s">
        <v>65</v>
      </c>
      <c r="C203" s="68">
        <v>1292946</v>
      </c>
      <c r="D203" s="12">
        <v>136928.68</v>
      </c>
      <c r="E203" s="10"/>
      <c r="F203" s="12">
        <v>17528</v>
      </c>
      <c r="G203" s="10">
        <f t="shared" si="23"/>
        <v>119400.68</v>
      </c>
      <c r="H203" s="19">
        <f t="shared" si="24"/>
        <v>0.1280082448760917</v>
      </c>
      <c r="I203" s="10">
        <v>119400.68</v>
      </c>
      <c r="J203" s="10"/>
      <c r="K203" s="10"/>
      <c r="L203" s="10">
        <f t="shared" si="25"/>
        <v>119400.68</v>
      </c>
      <c r="M203" s="22">
        <f t="shared" si="22"/>
        <v>0.013556637322827095</v>
      </c>
    </row>
    <row r="204" spans="2:13" ht="13.5" hidden="1">
      <c r="B204" s="11" t="s">
        <v>67</v>
      </c>
      <c r="C204" s="68">
        <v>0</v>
      </c>
      <c r="D204" s="12">
        <v>28083.05</v>
      </c>
      <c r="E204" s="10"/>
      <c r="F204" s="12">
        <v>0</v>
      </c>
      <c r="G204" s="10">
        <f t="shared" si="23"/>
        <v>28083.05</v>
      </c>
      <c r="H204" s="19">
        <f t="shared" si="24"/>
        <v>0</v>
      </c>
      <c r="I204" s="10">
        <v>28083.05</v>
      </c>
      <c r="J204" s="10"/>
      <c r="K204" s="10"/>
      <c r="L204" s="10">
        <f t="shared" si="25"/>
        <v>28083.05</v>
      </c>
      <c r="M204" s="22">
        <v>0</v>
      </c>
    </row>
    <row r="205" spans="2:13" ht="13.5" hidden="1">
      <c r="B205" s="11" t="s">
        <v>72</v>
      </c>
      <c r="C205" s="68">
        <v>1175368</v>
      </c>
      <c r="D205" s="12">
        <f>80190.43+139702.85</f>
        <v>219893.28</v>
      </c>
      <c r="E205" s="10">
        <v>22.1</v>
      </c>
      <c r="F205" s="12">
        <v>63394</v>
      </c>
      <c r="G205" s="10">
        <v>0</v>
      </c>
      <c r="H205" s="19">
        <v>0</v>
      </c>
      <c r="I205" s="10">
        <v>156521.38</v>
      </c>
      <c r="J205" s="10">
        <v>139702.85</v>
      </c>
      <c r="K205" s="10"/>
      <c r="L205" s="10">
        <f t="shared" si="25"/>
        <v>296224.23</v>
      </c>
      <c r="M205" s="22">
        <f>F205/C205</f>
        <v>0.053935448302148775</v>
      </c>
    </row>
    <row r="206" spans="2:14" ht="13.5" hidden="1">
      <c r="B206" s="70" t="s">
        <v>68</v>
      </c>
      <c r="C206" s="71">
        <v>14586232</v>
      </c>
      <c r="D206" s="71">
        <v>5834492.8</v>
      </c>
      <c r="E206" s="72"/>
      <c r="F206" s="71">
        <v>0</v>
      </c>
      <c r="G206" s="72">
        <f aca="true" t="shared" si="26" ref="G206:G226">D206+E206-F206</f>
        <v>5834492.8</v>
      </c>
      <c r="H206" s="73">
        <f>F206/(D206+E206)</f>
        <v>0</v>
      </c>
      <c r="I206" s="72">
        <v>5821073.84</v>
      </c>
      <c r="J206" s="72">
        <v>13418.96</v>
      </c>
      <c r="K206" s="72"/>
      <c r="L206" s="72">
        <f t="shared" si="25"/>
        <v>5834492.8</v>
      </c>
      <c r="M206" s="75">
        <f>F206/C206</f>
        <v>0</v>
      </c>
      <c r="N206" s="74"/>
    </row>
    <row r="207" spans="2:13" ht="13.5" hidden="1">
      <c r="B207" s="11" t="s">
        <v>69</v>
      </c>
      <c r="C207" s="68">
        <v>27119044.19</v>
      </c>
      <c r="D207" s="12">
        <v>4519840.7</v>
      </c>
      <c r="E207" s="10"/>
      <c r="F207" s="12">
        <v>2794690.06</v>
      </c>
      <c r="G207" s="10">
        <f t="shared" si="26"/>
        <v>1725150.6400000001</v>
      </c>
      <c r="H207" s="19">
        <f>F207/(D207+E207)</f>
        <v>0.6183160525989334</v>
      </c>
      <c r="I207" s="10">
        <v>1876050.84</v>
      </c>
      <c r="J207" s="10"/>
      <c r="K207" s="10">
        <v>75593.5</v>
      </c>
      <c r="L207" s="10">
        <f t="shared" si="25"/>
        <v>1800457.34</v>
      </c>
      <c r="M207" s="22">
        <f>F207/C207</f>
        <v>0.10305267547115568</v>
      </c>
    </row>
    <row r="208" spans="2:13" ht="13.5" hidden="1">
      <c r="B208" s="11" t="s">
        <v>70</v>
      </c>
      <c r="C208" s="68">
        <v>2000000</v>
      </c>
      <c r="D208" s="12">
        <v>955298</v>
      </c>
      <c r="E208" s="10"/>
      <c r="F208" s="12">
        <v>205440</v>
      </c>
      <c r="G208" s="10">
        <f t="shared" si="26"/>
        <v>749858</v>
      </c>
      <c r="H208" s="19">
        <v>0</v>
      </c>
      <c r="I208" s="10">
        <v>749858</v>
      </c>
      <c r="J208" s="10"/>
      <c r="K208" s="10"/>
      <c r="L208" s="10">
        <f t="shared" si="25"/>
        <v>749858</v>
      </c>
      <c r="M208" s="22">
        <f>F208/C208</f>
        <v>0.10272</v>
      </c>
    </row>
    <row r="209" spans="2:13" ht="13.5" hidden="1">
      <c r="B209" s="11" t="s">
        <v>73</v>
      </c>
      <c r="C209" s="68">
        <v>0</v>
      </c>
      <c r="D209" s="12">
        <v>73346.93</v>
      </c>
      <c r="E209" s="10"/>
      <c r="F209" s="12">
        <v>0</v>
      </c>
      <c r="G209" s="10">
        <f t="shared" si="26"/>
        <v>73346.93</v>
      </c>
      <c r="H209" s="19">
        <v>0</v>
      </c>
      <c r="I209" s="10"/>
      <c r="J209" s="10">
        <v>247.14</v>
      </c>
      <c r="K209" s="10"/>
      <c r="L209" s="10">
        <f t="shared" si="25"/>
        <v>247.14</v>
      </c>
      <c r="M209" s="22"/>
    </row>
    <row r="210" spans="2:13" ht="13.5" hidden="1">
      <c r="B210" s="8" t="s">
        <v>33</v>
      </c>
      <c r="C210" s="9">
        <f>SUM(C224:C225)</f>
        <v>0</v>
      </c>
      <c r="D210" s="9">
        <f>SUM(D224:D226)</f>
        <v>0</v>
      </c>
      <c r="E210" s="9">
        <f>SUM(E211:E226)</f>
        <v>8481.43</v>
      </c>
      <c r="F210" s="9">
        <f>SUM(F211:F226)</f>
        <v>3744891.2500000005</v>
      </c>
      <c r="G210" s="9">
        <f t="shared" si="26"/>
        <v>-3736409.8200000003</v>
      </c>
      <c r="H210" s="19"/>
      <c r="I210" s="9">
        <f>SUM(I211:I226)</f>
        <v>3786766.68</v>
      </c>
      <c r="J210" s="9">
        <f>SUM(J224:J226)</f>
        <v>1392</v>
      </c>
      <c r="K210" s="9">
        <f>SUM(K224:K226)</f>
        <v>246647.89</v>
      </c>
      <c r="L210" s="9">
        <f>SUM(L224:L226)</f>
        <v>466160.74999999994</v>
      </c>
      <c r="M210" s="22">
        <v>0</v>
      </c>
    </row>
    <row r="211" spans="2:13" ht="13.5" hidden="1">
      <c r="B211" s="11" t="s">
        <v>74</v>
      </c>
      <c r="C211" s="12">
        <v>26444293</v>
      </c>
      <c r="D211" s="12"/>
      <c r="E211" s="10">
        <v>3131.04</v>
      </c>
      <c r="F211" s="12">
        <v>575897</v>
      </c>
      <c r="G211" s="10">
        <f t="shared" si="26"/>
        <v>-572765.96</v>
      </c>
      <c r="H211" s="19">
        <v>0.59</v>
      </c>
      <c r="I211" s="10">
        <v>126530.48</v>
      </c>
      <c r="J211" s="10">
        <v>8811</v>
      </c>
      <c r="K211" s="10"/>
      <c r="L211" s="10">
        <f>I211+J211-K211</f>
        <v>135341.47999999998</v>
      </c>
      <c r="M211" s="22">
        <f>F211/C211</f>
        <v>0.02177774236581027</v>
      </c>
    </row>
    <row r="212" spans="2:13" ht="13.5" hidden="1">
      <c r="B212" s="11" t="s">
        <v>44</v>
      </c>
      <c r="C212" s="12">
        <v>26444293</v>
      </c>
      <c r="D212" s="12"/>
      <c r="E212" s="69">
        <v>3242.07</v>
      </c>
      <c r="F212" s="68">
        <v>0</v>
      </c>
      <c r="G212" s="10">
        <f t="shared" si="26"/>
        <v>3242.07</v>
      </c>
      <c r="H212" s="19">
        <f>F212/(D212+E212)</f>
        <v>0</v>
      </c>
      <c r="I212" s="69">
        <v>69897.42</v>
      </c>
      <c r="J212" s="69">
        <f>4240</f>
        <v>4240</v>
      </c>
      <c r="K212" s="69">
        <f>-42.69</f>
        <v>-42.69</v>
      </c>
      <c r="L212" s="10">
        <f aca="true" t="shared" si="27" ref="L212:L226">I212+J212-K212</f>
        <v>74180.11</v>
      </c>
      <c r="M212" s="22">
        <f>F212/C212</f>
        <v>0</v>
      </c>
    </row>
    <row r="213" spans="2:13" ht="13.5" hidden="1">
      <c r="B213" s="70" t="s">
        <v>45</v>
      </c>
      <c r="C213" s="71">
        <v>12591512</v>
      </c>
      <c r="D213" s="71"/>
      <c r="E213" s="72">
        <v>0</v>
      </c>
      <c r="F213" s="71">
        <v>0</v>
      </c>
      <c r="G213" s="72">
        <f t="shared" si="26"/>
        <v>0</v>
      </c>
      <c r="H213" s="73">
        <v>0.16</v>
      </c>
      <c r="I213" s="72">
        <v>19783.34</v>
      </c>
      <c r="J213" s="72"/>
      <c r="K213" s="72">
        <f>4238.28+15545.06</f>
        <v>19783.34</v>
      </c>
      <c r="L213" s="72">
        <f t="shared" si="27"/>
        <v>0</v>
      </c>
      <c r="M213" s="75">
        <f aca="true" t="shared" si="28" ref="M213:M221">F213/C213</f>
        <v>0</v>
      </c>
    </row>
    <row r="214" spans="2:13" ht="13.5" hidden="1">
      <c r="B214" s="11" t="s">
        <v>46</v>
      </c>
      <c r="C214" s="12">
        <v>25407614.43</v>
      </c>
      <c r="D214" s="12"/>
      <c r="E214" s="10">
        <v>293.05</v>
      </c>
      <c r="F214" s="12">
        <v>0</v>
      </c>
      <c r="G214" s="10">
        <f t="shared" si="26"/>
        <v>293.05</v>
      </c>
      <c r="H214" s="19">
        <f>F214/(D214+E214)</f>
        <v>0</v>
      </c>
      <c r="I214" s="10">
        <v>77281.37</v>
      </c>
      <c r="J214" s="10"/>
      <c r="K214" s="10"/>
      <c r="L214" s="10">
        <f t="shared" si="27"/>
        <v>77281.37</v>
      </c>
      <c r="M214" s="22">
        <f t="shared" si="28"/>
        <v>0</v>
      </c>
    </row>
    <row r="215" spans="2:13" ht="13.5" hidden="1">
      <c r="B215" s="11" t="s">
        <v>47</v>
      </c>
      <c r="C215" s="12">
        <v>1057470</v>
      </c>
      <c r="D215" s="12"/>
      <c r="E215" s="10">
        <v>214.44</v>
      </c>
      <c r="F215" s="12">
        <v>96236.08</v>
      </c>
      <c r="G215" s="10">
        <f t="shared" si="26"/>
        <v>-96021.64</v>
      </c>
      <c r="H215" s="19">
        <f>F215/(D215+E215)</f>
        <v>448.7785860846857</v>
      </c>
      <c r="I215" s="10">
        <v>10102.79</v>
      </c>
      <c r="J215" s="10"/>
      <c r="K215" s="10">
        <v>8843.68</v>
      </c>
      <c r="L215" s="10">
        <f t="shared" si="27"/>
        <v>1259.1100000000006</v>
      </c>
      <c r="M215" s="22">
        <f t="shared" si="28"/>
        <v>0.09100596707235194</v>
      </c>
    </row>
    <row r="216" spans="2:13" ht="13.5" hidden="1">
      <c r="B216" s="11" t="s">
        <v>48</v>
      </c>
      <c r="C216" s="12">
        <v>12329603</v>
      </c>
      <c r="D216" s="12"/>
      <c r="E216" s="10">
        <v>0</v>
      </c>
      <c r="F216" s="12">
        <v>2048744.56</v>
      </c>
      <c r="G216" s="10">
        <f t="shared" si="26"/>
        <v>-2048744.56</v>
      </c>
      <c r="H216" s="19">
        <v>0</v>
      </c>
      <c r="I216" s="10">
        <v>1983046.48</v>
      </c>
      <c r="J216" s="10"/>
      <c r="K216" s="10">
        <v>43500</v>
      </c>
      <c r="L216" s="10">
        <f t="shared" si="27"/>
        <v>1939546.48</v>
      </c>
      <c r="M216" s="22">
        <f t="shared" si="28"/>
        <v>0.16616468186364153</v>
      </c>
    </row>
    <row r="217" spans="2:13" ht="13.5" hidden="1">
      <c r="B217" s="11" t="s">
        <v>49</v>
      </c>
      <c r="C217" s="12">
        <v>1167126</v>
      </c>
      <c r="D217" s="12"/>
      <c r="E217" s="10">
        <v>135.71</v>
      </c>
      <c r="F217" s="12">
        <v>307056.51</v>
      </c>
      <c r="G217" s="10">
        <f t="shared" si="26"/>
        <v>-306920.8</v>
      </c>
      <c r="H217" s="19">
        <v>0.36</v>
      </c>
      <c r="I217" s="10">
        <v>0</v>
      </c>
      <c r="J217" s="10"/>
      <c r="K217" s="10"/>
      <c r="L217" s="10">
        <f t="shared" si="27"/>
        <v>0</v>
      </c>
      <c r="M217" s="22">
        <f t="shared" si="28"/>
        <v>0.26308771289475175</v>
      </c>
    </row>
    <row r="218" spans="2:13" ht="13.5" hidden="1">
      <c r="B218" s="11" t="s">
        <v>50</v>
      </c>
      <c r="C218" s="12">
        <v>161698</v>
      </c>
      <c r="D218" s="12"/>
      <c r="E218" s="69">
        <v>71.35</v>
      </c>
      <c r="F218" s="68">
        <v>47976.46</v>
      </c>
      <c r="G218" s="10">
        <f t="shared" si="26"/>
        <v>-47905.11</v>
      </c>
      <c r="H218" s="19">
        <f>F218/(D218+E218)</f>
        <v>672.4100911002103</v>
      </c>
      <c r="I218" s="10">
        <v>0</v>
      </c>
      <c r="J218" s="10"/>
      <c r="K218" s="10"/>
      <c r="L218" s="10">
        <f t="shared" si="27"/>
        <v>0</v>
      </c>
      <c r="M218" s="22">
        <f t="shared" si="28"/>
        <v>0.2967041027099902</v>
      </c>
    </row>
    <row r="219" spans="2:13" ht="13.5" hidden="1">
      <c r="B219" s="11" t="s">
        <v>51</v>
      </c>
      <c r="C219" s="12">
        <v>44192</v>
      </c>
      <c r="D219" s="12"/>
      <c r="E219" s="69">
        <v>20.04</v>
      </c>
      <c r="F219" s="68">
        <v>0</v>
      </c>
      <c r="G219" s="10">
        <f t="shared" si="26"/>
        <v>20.04</v>
      </c>
      <c r="H219" s="19">
        <f>F219/(D219+E219)</f>
        <v>0</v>
      </c>
      <c r="I219" s="69">
        <v>20685.95</v>
      </c>
      <c r="J219" s="10"/>
      <c r="K219" s="10">
        <v>0</v>
      </c>
      <c r="L219" s="10">
        <f t="shared" si="27"/>
        <v>20685.95</v>
      </c>
      <c r="M219" s="22">
        <f t="shared" si="28"/>
        <v>0</v>
      </c>
    </row>
    <row r="220" spans="2:13" ht="13.5" hidden="1">
      <c r="B220" s="11" t="s">
        <v>52</v>
      </c>
      <c r="C220" s="12">
        <v>439401</v>
      </c>
      <c r="D220" s="12"/>
      <c r="E220" s="10">
        <v>115.5</v>
      </c>
      <c r="F220" s="12">
        <v>0</v>
      </c>
      <c r="G220" s="10">
        <f t="shared" si="26"/>
        <v>115.5</v>
      </c>
      <c r="H220" s="19">
        <f>F220/(D220+E220)</f>
        <v>0</v>
      </c>
      <c r="I220" s="10">
        <v>30493.66</v>
      </c>
      <c r="J220" s="10"/>
      <c r="K220" s="10">
        <v>251661.15</v>
      </c>
      <c r="L220" s="10">
        <f t="shared" si="27"/>
        <v>-221167.49</v>
      </c>
      <c r="M220" s="22">
        <f t="shared" si="28"/>
        <v>0</v>
      </c>
    </row>
    <row r="221" spans="2:13" ht="13.5" hidden="1">
      <c r="B221" s="11" t="s">
        <v>53</v>
      </c>
      <c r="C221" s="12">
        <v>102492.78</v>
      </c>
      <c r="D221" s="12"/>
      <c r="E221" s="10">
        <v>0</v>
      </c>
      <c r="F221" s="12">
        <v>56238</v>
      </c>
      <c r="G221" s="10">
        <f t="shared" si="26"/>
        <v>-56238</v>
      </c>
      <c r="H221" s="19">
        <v>0</v>
      </c>
      <c r="I221" s="10">
        <v>78297.26</v>
      </c>
      <c r="J221" s="10">
        <v>8843.68</v>
      </c>
      <c r="K221" s="10"/>
      <c r="L221" s="10">
        <f t="shared" si="27"/>
        <v>87140.94</v>
      </c>
      <c r="M221" s="22">
        <f t="shared" si="28"/>
        <v>0.5487020646722628</v>
      </c>
    </row>
    <row r="222" spans="2:13" ht="13.5" hidden="1">
      <c r="B222" s="11" t="s">
        <v>55</v>
      </c>
      <c r="C222" s="12">
        <v>0</v>
      </c>
      <c r="D222" s="12"/>
      <c r="E222" s="10">
        <v>720.39</v>
      </c>
      <c r="F222" s="12">
        <v>558242.64</v>
      </c>
      <c r="G222" s="10">
        <f t="shared" si="26"/>
        <v>-557522.25</v>
      </c>
      <c r="H222" s="19">
        <v>0.04</v>
      </c>
      <c r="I222" s="10">
        <v>557061.43</v>
      </c>
      <c r="J222" s="10"/>
      <c r="K222" s="10">
        <v>0</v>
      </c>
      <c r="L222" s="10">
        <f t="shared" si="27"/>
        <v>557061.43</v>
      </c>
      <c r="M222" s="22">
        <v>0</v>
      </c>
    </row>
    <row r="223" spans="2:13" ht="13.5" hidden="1">
      <c r="B223" s="11" t="s">
        <v>58</v>
      </c>
      <c r="C223" s="12">
        <v>0</v>
      </c>
      <c r="D223" s="12"/>
      <c r="E223" s="10">
        <v>0</v>
      </c>
      <c r="F223" s="12">
        <v>54500</v>
      </c>
      <c r="G223" s="10">
        <f t="shared" si="26"/>
        <v>-54500</v>
      </c>
      <c r="H223" s="19">
        <v>0</v>
      </c>
      <c r="I223" s="10">
        <v>102169.86</v>
      </c>
      <c r="J223" s="10"/>
      <c r="K223" s="10"/>
      <c r="L223" s="10">
        <f t="shared" si="27"/>
        <v>102169.86</v>
      </c>
      <c r="M223" s="22">
        <v>0</v>
      </c>
    </row>
    <row r="224" spans="2:13" ht="13.5" hidden="1">
      <c r="B224" s="11" t="s">
        <v>41</v>
      </c>
      <c r="C224" s="12">
        <v>0</v>
      </c>
      <c r="D224" s="12"/>
      <c r="E224" s="10">
        <v>16.51</v>
      </c>
      <c r="F224" s="12">
        <v>0</v>
      </c>
      <c r="G224" s="10">
        <f t="shared" si="26"/>
        <v>16.51</v>
      </c>
      <c r="H224" s="19">
        <v>0</v>
      </c>
      <c r="I224" s="10">
        <v>35532.72</v>
      </c>
      <c r="J224" s="10">
        <v>0</v>
      </c>
      <c r="K224" s="10">
        <v>0</v>
      </c>
      <c r="L224" s="10">
        <f t="shared" si="27"/>
        <v>35532.72</v>
      </c>
      <c r="M224" s="22">
        <v>0</v>
      </c>
    </row>
    <row r="225" spans="2:13" ht="13.5" hidden="1">
      <c r="B225" s="11" t="s">
        <v>56</v>
      </c>
      <c r="C225" s="12"/>
      <c r="D225" s="12"/>
      <c r="E225" s="10">
        <f>73.6+33.68</f>
        <v>107.28</v>
      </c>
      <c r="F225" s="12">
        <v>0</v>
      </c>
      <c r="G225" s="10">
        <f t="shared" si="26"/>
        <v>107.28</v>
      </c>
      <c r="H225" s="19">
        <f>F225/(D225+E225)</f>
        <v>0</v>
      </c>
      <c r="I225" s="10">
        <f>113161.24+115.58+51772.41</f>
        <v>165049.23</v>
      </c>
      <c r="J225" s="10">
        <v>0</v>
      </c>
      <c r="K225" s="10">
        <v>0</v>
      </c>
      <c r="L225" s="10">
        <f t="shared" si="27"/>
        <v>165049.23</v>
      </c>
      <c r="M225" s="22">
        <v>0</v>
      </c>
    </row>
    <row r="226" spans="2:13" ht="13.5" hidden="1">
      <c r="B226" s="11" t="s">
        <v>43</v>
      </c>
      <c r="C226" s="12">
        <v>0</v>
      </c>
      <c r="D226" s="12"/>
      <c r="E226" s="10">
        <f>5.03+159.55+37.69+59.92+62.45+89.41</f>
        <v>414.04999999999995</v>
      </c>
      <c r="F226" s="12">
        <v>0</v>
      </c>
      <c r="G226" s="10">
        <f t="shared" si="26"/>
        <v>414.04999999999995</v>
      </c>
      <c r="H226" s="19">
        <f>F226/(D226+E226)</f>
        <v>0</v>
      </c>
      <c r="I226" s="10">
        <f>10479.47+245318.56+57949.7+8076.49+92124.85+875.23+96010.39</f>
        <v>510834.68999999994</v>
      </c>
      <c r="J226" s="10">
        <f>696+696</f>
        <v>1392</v>
      </c>
      <c r="K226" s="10">
        <f>148258.24+6806.29+91583.36</f>
        <v>246647.89</v>
      </c>
      <c r="L226" s="10">
        <f t="shared" si="27"/>
        <v>265578.79999999993</v>
      </c>
      <c r="M226" s="22">
        <v>0</v>
      </c>
    </row>
    <row r="227" spans="2:13" ht="13.5" hidden="1">
      <c r="B227" s="13" t="s">
        <v>7</v>
      </c>
      <c r="C227" s="9">
        <f>C189+C196+C210</f>
        <v>104346832.94</v>
      </c>
      <c r="D227" s="9">
        <f>D189+D196+D210</f>
        <v>30891535.87</v>
      </c>
      <c r="E227" s="9">
        <f>E189+E196+E210</f>
        <v>8503.53</v>
      </c>
      <c r="F227" s="9">
        <f>F189+F196+F210</f>
        <v>16538851.48</v>
      </c>
      <c r="G227" s="9">
        <f>D227+E227-F227</f>
        <v>14361187.920000002</v>
      </c>
      <c r="H227" s="20"/>
      <c r="I227" s="9">
        <f>I210+I196+I189</f>
        <v>22165142.549999997</v>
      </c>
      <c r="J227" s="9">
        <f>J210+J196+J189</f>
        <v>233187.31000000003</v>
      </c>
      <c r="K227" s="9">
        <f>K210+K196+K189</f>
        <v>553742.36</v>
      </c>
      <c r="L227" s="9">
        <f>L210+L196+L189</f>
        <v>18769237.459999997</v>
      </c>
      <c r="M227" s="23"/>
    </row>
    <row r="228" spans="2:13" ht="1.5" customHeight="1" hidden="1">
      <c r="B228" s="51"/>
      <c r="C228" s="52"/>
      <c r="D228" s="52"/>
      <c r="E228" s="52"/>
      <c r="F228" s="52"/>
      <c r="G228" s="52"/>
      <c r="H228" s="53"/>
      <c r="I228" s="52"/>
      <c r="J228" s="52"/>
      <c r="K228" s="52"/>
      <c r="L228" s="52"/>
      <c r="M228" s="54"/>
    </row>
    <row r="229" spans="2:13" ht="12.75" hidden="1">
      <c r="B229" s="25"/>
      <c r="C229" s="26"/>
      <c r="D229" s="98" t="s">
        <v>11</v>
      </c>
      <c r="E229" s="98"/>
      <c r="F229" s="98"/>
      <c r="G229" s="98"/>
      <c r="H229" s="98"/>
      <c r="I229" s="98"/>
      <c r="J229" s="98"/>
      <c r="K229" s="26"/>
      <c r="L229" s="26"/>
      <c r="M229" s="47"/>
    </row>
    <row r="230" spans="2:13" ht="13.5" hidden="1">
      <c r="B230" s="25"/>
      <c r="C230" s="99" t="s">
        <v>3</v>
      </c>
      <c r="D230" s="99"/>
      <c r="E230" s="118" t="s">
        <v>4</v>
      </c>
      <c r="F230" s="119"/>
      <c r="G230" s="119"/>
      <c r="H230" s="120"/>
      <c r="I230" s="63" t="s">
        <v>54</v>
      </c>
      <c r="J230" s="28" t="s">
        <v>0</v>
      </c>
      <c r="K230" s="25"/>
      <c r="L230" s="29"/>
      <c r="M230" s="30"/>
    </row>
    <row r="231" spans="2:13" ht="13.5" hidden="1">
      <c r="B231" s="25"/>
      <c r="C231" s="103" t="s">
        <v>31</v>
      </c>
      <c r="D231" s="103"/>
      <c r="E231" s="124">
        <v>5971553.53</v>
      </c>
      <c r="F231" s="125"/>
      <c r="G231" s="125"/>
      <c r="H231" s="126"/>
      <c r="I231" s="78">
        <v>1553547.4</v>
      </c>
      <c r="J231" s="85">
        <v>0.26</v>
      </c>
      <c r="K231" s="25"/>
      <c r="L231" s="29"/>
      <c r="M231" s="30"/>
    </row>
    <row r="232" spans="2:13" ht="13.5" hidden="1">
      <c r="B232" s="25"/>
      <c r="C232" s="91" t="s">
        <v>32</v>
      </c>
      <c r="D232" s="91"/>
      <c r="E232" s="124">
        <v>5700248.07</v>
      </c>
      <c r="F232" s="125"/>
      <c r="G232" s="125"/>
      <c r="H232" s="126"/>
      <c r="I232" s="78">
        <v>726104.84</v>
      </c>
      <c r="J232" s="85">
        <v>0.12</v>
      </c>
      <c r="K232" s="26"/>
      <c r="L232" s="29"/>
      <c r="M232" s="30"/>
    </row>
    <row r="233" spans="2:13" ht="5.25" customHeight="1" hidden="1">
      <c r="B233" s="25"/>
      <c r="C233" s="48"/>
      <c r="D233" s="48"/>
      <c r="E233" s="49"/>
      <c r="F233" s="49"/>
      <c r="G233" s="49"/>
      <c r="H233" s="49"/>
      <c r="I233" s="49"/>
      <c r="J233" s="50"/>
      <c r="K233" s="26"/>
      <c r="L233" s="29"/>
      <c r="M233" s="30"/>
    </row>
    <row r="234" spans="2:13" ht="16.5" hidden="1">
      <c r="B234" s="32"/>
      <c r="C234" s="95" t="s">
        <v>5</v>
      </c>
      <c r="D234" s="95"/>
      <c r="E234" s="33"/>
      <c r="F234" s="34"/>
      <c r="G234" s="34"/>
      <c r="H234" s="34" t="s">
        <v>28</v>
      </c>
      <c r="I234" s="35"/>
      <c r="J234" s="96" t="s">
        <v>29</v>
      </c>
      <c r="K234" s="96"/>
      <c r="L234" s="96"/>
      <c r="M234" s="36"/>
    </row>
    <row r="235" spans="2:13" ht="9.75" customHeight="1" hidden="1">
      <c r="B235" s="32"/>
      <c r="C235" s="37"/>
      <c r="D235" s="64"/>
      <c r="E235" s="33"/>
      <c r="F235" s="34"/>
      <c r="G235" s="34"/>
      <c r="H235" s="38"/>
      <c r="I235" s="35"/>
      <c r="J235" s="39"/>
      <c r="K235" s="39"/>
      <c r="L235" s="40"/>
      <c r="M235" s="36"/>
    </row>
    <row r="236" spans="2:13" ht="16.5" hidden="1">
      <c r="B236" s="41"/>
      <c r="C236" s="95" t="s">
        <v>30</v>
      </c>
      <c r="D236" s="95"/>
      <c r="E236" s="33"/>
      <c r="F236" s="34"/>
      <c r="G236" s="34"/>
      <c r="H236" s="34" t="s">
        <v>38</v>
      </c>
      <c r="I236" s="35"/>
      <c r="J236" s="96" t="s">
        <v>39</v>
      </c>
      <c r="K236" s="96"/>
      <c r="L236" s="96"/>
      <c r="M236" s="18"/>
    </row>
    <row r="237" spans="2:13" ht="16.5" hidden="1">
      <c r="B237" s="41"/>
      <c r="C237" s="88" t="s">
        <v>40</v>
      </c>
      <c r="D237" s="89"/>
      <c r="E237" s="33"/>
      <c r="F237" s="42"/>
      <c r="G237" s="42"/>
      <c r="H237" s="42" t="s">
        <v>36</v>
      </c>
      <c r="I237" s="35"/>
      <c r="J237" s="90" t="s">
        <v>37</v>
      </c>
      <c r="K237" s="90"/>
      <c r="L237" s="90"/>
      <c r="M237" s="24"/>
    </row>
    <row r="238" spans="2:13" ht="15.75" hidden="1">
      <c r="B238" s="46" t="s">
        <v>34</v>
      </c>
      <c r="C238" s="43"/>
      <c r="D238" s="43"/>
      <c r="E238" s="43"/>
      <c r="F238" s="44"/>
      <c r="G238" s="44"/>
      <c r="H238" s="27"/>
      <c r="I238" s="43"/>
      <c r="J238" s="44"/>
      <c r="K238" s="43"/>
      <c r="L238" s="43"/>
      <c r="M238" s="24"/>
    </row>
    <row r="239" spans="2:9" ht="12.75" hidden="1">
      <c r="B239" s="76" t="s">
        <v>79</v>
      </c>
      <c r="D239" s="109" t="s">
        <v>78</v>
      </c>
      <c r="E239" s="109"/>
      <c r="G239" s="110" t="s">
        <v>80</v>
      </c>
      <c r="H239" s="110"/>
      <c r="I239" s="110"/>
    </row>
    <row r="240" spans="1:13" ht="15.75" hidden="1">
      <c r="A240" s="25"/>
      <c r="B240" s="111" t="s">
        <v>26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1:13" ht="15.75" hidden="1">
      <c r="A241" s="25"/>
      <c r="B241" s="79"/>
      <c r="C241" s="80"/>
      <c r="D241" s="80"/>
      <c r="E241" s="80"/>
      <c r="F241" s="80"/>
      <c r="G241" s="80"/>
      <c r="H241" s="81"/>
      <c r="I241" s="80"/>
      <c r="J241" s="80"/>
      <c r="K241" s="80"/>
      <c r="L241" s="80"/>
      <c r="M241" s="81"/>
    </row>
    <row r="242" spans="1:13" ht="15.75" hidden="1">
      <c r="A242" s="25"/>
      <c r="B242" s="111" t="s">
        <v>6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1:13" ht="16.5" hidden="1">
      <c r="A243" s="25"/>
      <c r="B243" s="112" t="s">
        <v>60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1:13" ht="16.5" hidden="1">
      <c r="A244" s="25"/>
      <c r="B244" s="113" t="s">
        <v>81</v>
      </c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1:13" ht="15.75" hidden="1">
      <c r="A245" s="25"/>
      <c r="B245" s="82" t="s">
        <v>15</v>
      </c>
      <c r="C245" s="83"/>
      <c r="D245" s="83"/>
      <c r="E245" s="83"/>
      <c r="F245" s="83"/>
      <c r="G245" s="83"/>
      <c r="H245" s="84"/>
      <c r="I245" s="83"/>
      <c r="J245" s="83"/>
      <c r="K245" s="83"/>
      <c r="L245" s="83"/>
      <c r="M245" s="84"/>
    </row>
    <row r="246" spans="1:12" ht="12" customHeight="1" hidden="1">
      <c r="A246" s="25"/>
      <c r="C246" s="2"/>
      <c r="D246" s="104" t="s">
        <v>1</v>
      </c>
      <c r="E246" s="104"/>
      <c r="F246" s="105"/>
      <c r="G246" s="105"/>
      <c r="H246" s="105"/>
      <c r="I246" s="104" t="s">
        <v>2</v>
      </c>
      <c r="J246" s="104"/>
      <c r="K246" s="104"/>
      <c r="L246" s="104"/>
    </row>
    <row r="247" spans="1:13" ht="13.5" customHeight="1" hidden="1">
      <c r="A247" s="25"/>
      <c r="B247" s="106" t="s">
        <v>8</v>
      </c>
      <c r="C247" s="108" t="s">
        <v>12</v>
      </c>
      <c r="D247" s="108" t="s">
        <v>13</v>
      </c>
      <c r="E247" s="108" t="s">
        <v>16</v>
      </c>
      <c r="F247" s="97" t="s">
        <v>14</v>
      </c>
      <c r="G247" s="61"/>
      <c r="H247" s="97" t="s">
        <v>0</v>
      </c>
      <c r="I247" s="97" t="s">
        <v>22</v>
      </c>
      <c r="J247" s="97" t="s">
        <v>23</v>
      </c>
      <c r="K247" s="97" t="s">
        <v>24</v>
      </c>
      <c r="L247" s="97" t="s">
        <v>25</v>
      </c>
      <c r="M247" s="62" t="s">
        <v>9</v>
      </c>
    </row>
    <row r="248" spans="1:13" ht="30" customHeight="1" hidden="1">
      <c r="A248" s="25"/>
      <c r="B248" s="107"/>
      <c r="C248" s="108"/>
      <c r="D248" s="108"/>
      <c r="E248" s="108"/>
      <c r="F248" s="97"/>
      <c r="G248" s="61"/>
      <c r="H248" s="97"/>
      <c r="I248" s="97"/>
      <c r="J248" s="97"/>
      <c r="K248" s="97"/>
      <c r="L248" s="97"/>
      <c r="M248" s="1" t="s">
        <v>10</v>
      </c>
    </row>
    <row r="249" spans="1:13" ht="13.5" hidden="1">
      <c r="A249" s="25"/>
      <c r="B249" s="8" t="s">
        <v>35</v>
      </c>
      <c r="C249" s="9">
        <f>SUM(C250:C255)</f>
        <v>10977566.75</v>
      </c>
      <c r="D249" s="9">
        <f>SUM(D250:D255)</f>
        <v>3681326.62</v>
      </c>
      <c r="E249" s="9">
        <f>SUM(E250:E255)</f>
        <v>0</v>
      </c>
      <c r="F249" s="9">
        <f>SUM(F250:F255)</f>
        <v>1532476.74</v>
      </c>
      <c r="G249" s="9">
        <f>D249+E249-F249</f>
        <v>2148849.88</v>
      </c>
      <c r="H249" s="19">
        <f>F249/(D249+E249)</f>
        <v>0.4162838286813029</v>
      </c>
      <c r="I249" s="9">
        <f>SUM(I250:I255)</f>
        <v>2131837.1799999997</v>
      </c>
      <c r="J249" s="9">
        <f>SUM(J250:J255)</f>
        <v>18763.2</v>
      </c>
      <c r="K249" s="9">
        <f>K250</f>
        <v>8811</v>
      </c>
      <c r="L249" s="9">
        <f>I249+J249-K249</f>
        <v>2141789.38</v>
      </c>
      <c r="M249" s="22">
        <f>F249/C249</f>
        <v>0.1396007671736544</v>
      </c>
    </row>
    <row r="250" spans="1:13" ht="13.5" hidden="1">
      <c r="A250" s="25"/>
      <c r="B250" s="11" t="s">
        <v>17</v>
      </c>
      <c r="C250" s="12">
        <v>3664251.75</v>
      </c>
      <c r="D250" s="12">
        <v>2188470</v>
      </c>
      <c r="E250" s="10">
        <v>0</v>
      </c>
      <c r="F250" s="12">
        <f>1532476.74</f>
        <v>1532476.74</v>
      </c>
      <c r="G250" s="10"/>
      <c r="H250" s="19"/>
      <c r="I250" s="10">
        <f>1457877.89+673959.29</f>
        <v>2131837.1799999997</v>
      </c>
      <c r="J250" s="10">
        <v>18763.2</v>
      </c>
      <c r="K250" s="10">
        <v>8811</v>
      </c>
      <c r="L250" s="10">
        <f>I250+J250-K250</f>
        <v>2141789.38</v>
      </c>
      <c r="M250" s="22"/>
    </row>
    <row r="251" spans="1:13" ht="13.5" hidden="1">
      <c r="A251" s="25"/>
      <c r="B251" s="11" t="s">
        <v>18</v>
      </c>
      <c r="C251" s="12">
        <v>5583543</v>
      </c>
      <c r="D251" s="12">
        <v>1229690.12</v>
      </c>
      <c r="E251" s="10">
        <v>0</v>
      </c>
      <c r="F251" s="12">
        <v>0</v>
      </c>
      <c r="G251" s="10"/>
      <c r="H251" s="19"/>
      <c r="I251" s="10">
        <v>0</v>
      </c>
      <c r="J251" s="10">
        <v>0</v>
      </c>
      <c r="K251" s="10">
        <v>0</v>
      </c>
      <c r="L251" s="10">
        <v>0</v>
      </c>
      <c r="M251" s="22"/>
    </row>
    <row r="252" spans="1:13" ht="13.5" hidden="1">
      <c r="A252" s="25"/>
      <c r="B252" s="11" t="s">
        <v>19</v>
      </c>
      <c r="C252" s="12">
        <v>543559</v>
      </c>
      <c r="D252" s="12">
        <v>206260.5</v>
      </c>
      <c r="E252" s="10">
        <v>0</v>
      </c>
      <c r="F252" s="12">
        <v>0</v>
      </c>
      <c r="G252" s="10"/>
      <c r="H252" s="19"/>
      <c r="I252" s="10">
        <v>0</v>
      </c>
      <c r="J252" s="10">
        <v>0</v>
      </c>
      <c r="K252" s="10">
        <v>0</v>
      </c>
      <c r="L252" s="10">
        <v>0</v>
      </c>
      <c r="M252" s="22"/>
    </row>
    <row r="253" spans="1:13" ht="13.5" hidden="1">
      <c r="A253" s="25"/>
      <c r="B253" s="11" t="s">
        <v>20</v>
      </c>
      <c r="C253" s="12">
        <v>1186213</v>
      </c>
      <c r="D253" s="12">
        <v>56906</v>
      </c>
      <c r="E253" s="10">
        <v>0</v>
      </c>
      <c r="F253" s="12">
        <v>0</v>
      </c>
      <c r="G253" s="10"/>
      <c r="H253" s="19"/>
      <c r="I253" s="10">
        <v>0</v>
      </c>
      <c r="J253" s="10">
        <v>0</v>
      </c>
      <c r="K253" s="10">
        <v>0</v>
      </c>
      <c r="L253" s="10">
        <v>0</v>
      </c>
      <c r="M253" s="22"/>
    </row>
    <row r="254" spans="1:13" ht="13.5" hidden="1">
      <c r="A254" s="25"/>
      <c r="B254" s="11" t="s">
        <v>21</v>
      </c>
      <c r="C254" s="12">
        <v>0</v>
      </c>
      <c r="D254" s="12">
        <v>0</v>
      </c>
      <c r="E254" s="10">
        <v>0</v>
      </c>
      <c r="F254" s="12">
        <v>0</v>
      </c>
      <c r="G254" s="10"/>
      <c r="H254" s="19"/>
      <c r="I254" s="10">
        <v>0</v>
      </c>
      <c r="J254" s="10">
        <v>0</v>
      </c>
      <c r="K254" s="10">
        <v>0</v>
      </c>
      <c r="L254" s="10">
        <v>0</v>
      </c>
      <c r="M254" s="22"/>
    </row>
    <row r="255" spans="1:13" ht="13.5" hidden="1">
      <c r="A255" s="25"/>
      <c r="B255" s="11" t="s">
        <v>42</v>
      </c>
      <c r="C255" s="12">
        <v>0</v>
      </c>
      <c r="D255" s="12">
        <v>0</v>
      </c>
      <c r="E255" s="10">
        <v>0</v>
      </c>
      <c r="F255" s="12">
        <v>0</v>
      </c>
      <c r="G255" s="10"/>
      <c r="H255" s="19"/>
      <c r="I255" s="10">
        <v>0</v>
      </c>
      <c r="J255" s="10">
        <v>0</v>
      </c>
      <c r="K255" s="10">
        <v>0</v>
      </c>
      <c r="L255" s="10">
        <v>0</v>
      </c>
      <c r="M255" s="22"/>
    </row>
    <row r="256" spans="1:13" ht="13.5" hidden="1">
      <c r="A256" s="25"/>
      <c r="B256" s="8" t="s">
        <v>27</v>
      </c>
      <c r="C256" s="9">
        <f>SUM(C257:C268)</f>
        <v>93369266.19</v>
      </c>
      <c r="D256" s="9">
        <f>SUM(D257:D269)</f>
        <v>27210209.25</v>
      </c>
      <c r="E256" s="9">
        <f>SUM(E257:E268)</f>
        <v>22.1</v>
      </c>
      <c r="F256" s="9">
        <f>SUM(F257:F269)</f>
        <v>11261483.49</v>
      </c>
      <c r="G256" s="9">
        <f>D256+E256-F256</f>
        <v>15948747.860000001</v>
      </c>
      <c r="H256" s="19">
        <f>F256/(D256+E256)</f>
        <v>0.41386945025000677</v>
      </c>
      <c r="I256" s="9">
        <f>SUM(I257:I268)</f>
        <v>16246538.689999998</v>
      </c>
      <c r="J256" s="9">
        <f>SUM(J257:J268)</f>
        <v>213032.11000000002</v>
      </c>
      <c r="K256" s="9">
        <f>SUM(K257:K268)</f>
        <v>298283.47</v>
      </c>
      <c r="L256" s="9">
        <f>SUM(L257:L268)</f>
        <v>16161287.329999998</v>
      </c>
      <c r="M256" s="22">
        <f aca="true" t="shared" si="29" ref="M256:M263">F256/C256</f>
        <v>0.12061231655268298</v>
      </c>
    </row>
    <row r="257" spans="1:14" ht="13.5" hidden="1">
      <c r="A257" s="25"/>
      <c r="B257" s="11" t="s">
        <v>61</v>
      </c>
      <c r="C257" s="12">
        <v>31868879</v>
      </c>
      <c r="D257" s="12">
        <v>12514619.14</v>
      </c>
      <c r="E257" s="10"/>
      <c r="F257" s="12">
        <v>7652818.4</v>
      </c>
      <c r="G257" s="10">
        <f>D257+E257-F257</f>
        <v>4861800.74</v>
      </c>
      <c r="H257" s="19">
        <f>F257/(D257+E257)</f>
        <v>0.611510291634812</v>
      </c>
      <c r="I257" s="10">
        <v>5083686.77</v>
      </c>
      <c r="J257" s="10">
        <f>556.8</f>
        <v>556.8</v>
      </c>
      <c r="K257" s="10">
        <f>137849.73+57101.2+27491.9</f>
        <v>222442.83</v>
      </c>
      <c r="L257" s="10">
        <f>I257+J257-K257</f>
        <v>4861800.739999999</v>
      </c>
      <c r="M257" s="22">
        <f t="shared" si="29"/>
        <v>0.2401345337562705</v>
      </c>
      <c r="N257" s="74"/>
    </row>
    <row r="258" spans="1:13" ht="13.5" hidden="1">
      <c r="A258" s="25"/>
      <c r="B258" s="11" t="s">
        <v>62</v>
      </c>
      <c r="C258" s="12">
        <v>13235444</v>
      </c>
      <c r="D258" s="12">
        <v>2454403.83</v>
      </c>
      <c r="E258" s="10"/>
      <c r="F258" s="12">
        <v>386052.58</v>
      </c>
      <c r="G258" s="10">
        <f aca="true" t="shared" si="30" ref="G258:G264">D258+E258-F258</f>
        <v>2068351.25</v>
      </c>
      <c r="H258" s="19">
        <f aca="true" t="shared" si="31" ref="H258:H264">F258/(D258+E258)</f>
        <v>0.1572897561849062</v>
      </c>
      <c r="I258" s="10">
        <v>2079874.6</v>
      </c>
      <c r="J258" s="10">
        <v>59353.5</v>
      </c>
      <c r="K258" s="10"/>
      <c r="L258" s="10">
        <f aca="true" t="shared" si="32" ref="L258:L269">I258+J258-K258</f>
        <v>2139228.1</v>
      </c>
      <c r="M258" s="22">
        <f t="shared" si="29"/>
        <v>0.029168086843176552</v>
      </c>
    </row>
    <row r="259" spans="1:13" ht="13.5" hidden="1">
      <c r="A259" s="25"/>
      <c r="B259" s="11" t="s">
        <v>63</v>
      </c>
      <c r="C259" s="12">
        <v>1255332</v>
      </c>
      <c r="D259" s="12">
        <v>215822.82</v>
      </c>
      <c r="E259" s="10"/>
      <c r="F259" s="12">
        <v>44643.76</v>
      </c>
      <c r="G259" s="10">
        <f t="shared" si="30"/>
        <v>171179.06</v>
      </c>
      <c r="H259" s="19">
        <f t="shared" si="31"/>
        <v>0.20685375160976954</v>
      </c>
      <c r="I259" s="10">
        <v>171426.2</v>
      </c>
      <c r="J259" s="10"/>
      <c r="K259" s="10">
        <v>247.14</v>
      </c>
      <c r="L259" s="10">
        <f t="shared" si="32"/>
        <v>171179.06</v>
      </c>
      <c r="M259" s="22">
        <f t="shared" si="29"/>
        <v>0.035563309148496175</v>
      </c>
    </row>
    <row r="260" spans="1:14" ht="13.5" hidden="1">
      <c r="A260" s="25"/>
      <c r="B260" s="11" t="s">
        <v>66</v>
      </c>
      <c r="C260" s="12">
        <v>54835</v>
      </c>
      <c r="D260" s="12">
        <v>18278.24</v>
      </c>
      <c r="E260" s="10"/>
      <c r="F260" s="12">
        <v>13641.44</v>
      </c>
      <c r="G260" s="10">
        <f t="shared" si="30"/>
        <v>4636.800000000001</v>
      </c>
      <c r="H260" s="19">
        <f t="shared" si="31"/>
        <v>0.7463213088349863</v>
      </c>
      <c r="I260" s="10">
        <v>4636.8</v>
      </c>
      <c r="J260" s="10"/>
      <c r="K260" s="10"/>
      <c r="L260" s="10">
        <f t="shared" si="32"/>
        <v>4636.8</v>
      </c>
      <c r="M260" s="22">
        <f t="shared" si="29"/>
        <v>0.2487724993161302</v>
      </c>
      <c r="N260" s="74"/>
    </row>
    <row r="261" spans="1:14" ht="13.5" hidden="1">
      <c r="A261" s="25"/>
      <c r="B261" s="11" t="s">
        <v>64</v>
      </c>
      <c r="C261" s="12">
        <v>270270</v>
      </c>
      <c r="D261" s="12">
        <v>116120.43</v>
      </c>
      <c r="E261" s="10"/>
      <c r="F261" s="12">
        <v>46475.25</v>
      </c>
      <c r="G261" s="10">
        <f t="shared" si="30"/>
        <v>69645.18</v>
      </c>
      <c r="H261" s="19">
        <f t="shared" si="31"/>
        <v>0.40023318894013743</v>
      </c>
      <c r="I261" s="10">
        <v>69645.18</v>
      </c>
      <c r="J261" s="10"/>
      <c r="K261" s="10"/>
      <c r="L261" s="10">
        <f t="shared" si="32"/>
        <v>69645.18</v>
      </c>
      <c r="M261" s="22">
        <f t="shared" si="29"/>
        <v>0.17195859695859697</v>
      </c>
      <c r="N261" s="74"/>
    </row>
    <row r="262" spans="1:13" ht="13.5" hidden="1">
      <c r="A262" s="25"/>
      <c r="B262" s="11" t="s">
        <v>71</v>
      </c>
      <c r="C262" s="12">
        <v>510916</v>
      </c>
      <c r="D262" s="12">
        <v>123081.35</v>
      </c>
      <c r="E262" s="10"/>
      <c r="F262" s="12">
        <v>36800</v>
      </c>
      <c r="G262" s="10">
        <f t="shared" si="30"/>
        <v>86281.35</v>
      </c>
      <c r="H262" s="19">
        <f t="shared" si="31"/>
        <v>0.2989892457305676</v>
      </c>
      <c r="I262" s="10">
        <v>86281.35</v>
      </c>
      <c r="J262" s="10"/>
      <c r="K262" s="10"/>
      <c r="L262" s="10">
        <f t="shared" si="32"/>
        <v>86281.35</v>
      </c>
      <c r="M262" s="22">
        <f t="shared" si="29"/>
        <v>0.0720274957135811</v>
      </c>
    </row>
    <row r="263" spans="1:13" ht="13.5" hidden="1">
      <c r="A263" s="25"/>
      <c r="B263" s="11" t="s">
        <v>65</v>
      </c>
      <c r="C263" s="12">
        <v>1292946</v>
      </c>
      <c r="D263" s="12">
        <v>136928.68</v>
      </c>
      <c r="E263" s="10"/>
      <c r="F263" s="12">
        <v>17528</v>
      </c>
      <c r="G263" s="10">
        <f t="shared" si="30"/>
        <v>119400.68</v>
      </c>
      <c r="H263" s="19">
        <f t="shared" si="31"/>
        <v>0.1280082448760917</v>
      </c>
      <c r="I263" s="10">
        <v>119400.68</v>
      </c>
      <c r="J263" s="10"/>
      <c r="K263" s="10"/>
      <c r="L263" s="10">
        <f t="shared" si="32"/>
        <v>119400.68</v>
      </c>
      <c r="M263" s="22">
        <f t="shared" si="29"/>
        <v>0.013556637322827095</v>
      </c>
    </row>
    <row r="264" spans="1:13" ht="13.5" hidden="1">
      <c r="A264" s="25"/>
      <c r="B264" s="11" t="s">
        <v>67</v>
      </c>
      <c r="C264" s="12">
        <v>0</v>
      </c>
      <c r="D264" s="12">
        <v>28083.05</v>
      </c>
      <c r="E264" s="10"/>
      <c r="F264" s="12">
        <v>0</v>
      </c>
      <c r="G264" s="10">
        <f t="shared" si="30"/>
        <v>28083.05</v>
      </c>
      <c r="H264" s="19">
        <f t="shared" si="31"/>
        <v>0</v>
      </c>
      <c r="I264" s="10">
        <v>28083.05</v>
      </c>
      <c r="J264" s="10"/>
      <c r="K264" s="10"/>
      <c r="L264" s="10">
        <f t="shared" si="32"/>
        <v>28083.05</v>
      </c>
      <c r="M264" s="22">
        <v>0</v>
      </c>
    </row>
    <row r="265" spans="1:13" ht="13.5" hidden="1">
      <c r="A265" s="25"/>
      <c r="B265" s="11" t="s">
        <v>72</v>
      </c>
      <c r="C265" s="12">
        <v>1175368</v>
      </c>
      <c r="D265" s="12">
        <f>80190.43+139702.85</f>
        <v>219893.28</v>
      </c>
      <c r="E265" s="10">
        <v>22.1</v>
      </c>
      <c r="F265" s="12">
        <v>63394</v>
      </c>
      <c r="G265" s="10">
        <v>0</v>
      </c>
      <c r="H265" s="19">
        <v>0</v>
      </c>
      <c r="I265" s="10">
        <v>156521.38</v>
      </c>
      <c r="J265" s="10">
        <v>139702.85</v>
      </c>
      <c r="K265" s="10"/>
      <c r="L265" s="10">
        <f t="shared" si="32"/>
        <v>296224.23</v>
      </c>
      <c r="M265" s="22">
        <f>F265/C265</f>
        <v>0.053935448302148775</v>
      </c>
    </row>
    <row r="266" spans="1:14" ht="13.5" hidden="1">
      <c r="A266" s="25"/>
      <c r="B266" s="11" t="s">
        <v>68</v>
      </c>
      <c r="C266" s="12">
        <v>14586232</v>
      </c>
      <c r="D266" s="12">
        <v>5834492.8</v>
      </c>
      <c r="E266" s="10"/>
      <c r="F266" s="12">
        <v>0</v>
      </c>
      <c r="G266" s="10">
        <f aca="true" t="shared" si="33" ref="G266:G286">D266+E266-F266</f>
        <v>5834492.8</v>
      </c>
      <c r="H266" s="19">
        <f>F266/(D266+E266)</f>
        <v>0</v>
      </c>
      <c r="I266" s="10">
        <v>5821073.84</v>
      </c>
      <c r="J266" s="10">
        <v>13418.96</v>
      </c>
      <c r="K266" s="10"/>
      <c r="L266" s="10">
        <f t="shared" si="32"/>
        <v>5834492.8</v>
      </c>
      <c r="M266" s="22">
        <f>F266/C266</f>
        <v>0</v>
      </c>
      <c r="N266" s="74"/>
    </row>
    <row r="267" spans="1:13" ht="13.5" hidden="1">
      <c r="A267" s="25"/>
      <c r="B267" s="11" t="s">
        <v>69</v>
      </c>
      <c r="C267" s="12">
        <v>27119044.19</v>
      </c>
      <c r="D267" s="12">
        <v>4519840.7</v>
      </c>
      <c r="E267" s="10"/>
      <c r="F267" s="12">
        <v>2794690.06</v>
      </c>
      <c r="G267" s="10">
        <f t="shared" si="33"/>
        <v>1725150.6400000001</v>
      </c>
      <c r="H267" s="19">
        <f>F267/(D267+E267)</f>
        <v>0.6183160525989334</v>
      </c>
      <c r="I267" s="10">
        <v>1876050.84</v>
      </c>
      <c r="J267" s="10"/>
      <c r="K267" s="10">
        <v>75593.5</v>
      </c>
      <c r="L267" s="10">
        <f t="shared" si="32"/>
        <v>1800457.34</v>
      </c>
      <c r="M267" s="22">
        <f>F267/C267</f>
        <v>0.10305267547115568</v>
      </c>
    </row>
    <row r="268" spans="1:13" ht="13.5" hidden="1">
      <c r="A268" s="25"/>
      <c r="B268" s="11" t="s">
        <v>70</v>
      </c>
      <c r="C268" s="12">
        <v>2000000</v>
      </c>
      <c r="D268" s="12">
        <v>955298</v>
      </c>
      <c r="E268" s="10"/>
      <c r="F268" s="12">
        <v>205440</v>
      </c>
      <c r="G268" s="10">
        <f t="shared" si="33"/>
        <v>749858</v>
      </c>
      <c r="H268" s="19">
        <v>0</v>
      </c>
      <c r="I268" s="10">
        <v>749858</v>
      </c>
      <c r="J268" s="10"/>
      <c r="K268" s="10"/>
      <c r="L268" s="10">
        <f t="shared" si="32"/>
        <v>749858</v>
      </c>
      <c r="M268" s="22">
        <f>F268/C268</f>
        <v>0.10272</v>
      </c>
    </row>
    <row r="269" spans="1:13" ht="13.5" hidden="1">
      <c r="A269" s="25"/>
      <c r="B269" s="11" t="s">
        <v>73</v>
      </c>
      <c r="C269" s="12">
        <v>0</v>
      </c>
      <c r="D269" s="12">
        <v>73346.93</v>
      </c>
      <c r="E269" s="10"/>
      <c r="F269" s="12">
        <v>0</v>
      </c>
      <c r="G269" s="10">
        <f t="shared" si="33"/>
        <v>73346.93</v>
      </c>
      <c r="H269" s="19">
        <v>0</v>
      </c>
      <c r="I269" s="10"/>
      <c r="J269" s="10">
        <v>247.14</v>
      </c>
      <c r="K269" s="10"/>
      <c r="L269" s="10">
        <f t="shared" si="32"/>
        <v>247.14</v>
      </c>
      <c r="M269" s="22"/>
    </row>
    <row r="270" spans="1:13" ht="13.5" hidden="1">
      <c r="A270" s="25"/>
      <c r="B270" s="8" t="s">
        <v>33</v>
      </c>
      <c r="C270" s="9">
        <f>SUM(C284:C285)</f>
        <v>0</v>
      </c>
      <c r="D270" s="9">
        <f>SUM(D284:D286)</f>
        <v>0</v>
      </c>
      <c r="E270" s="9">
        <f>SUM(E271:E286)</f>
        <v>8481.43</v>
      </c>
      <c r="F270" s="9">
        <f>SUM(F271:F286)</f>
        <v>3744891.2500000005</v>
      </c>
      <c r="G270" s="9">
        <f t="shared" si="33"/>
        <v>-3736409.8200000003</v>
      </c>
      <c r="H270" s="19"/>
      <c r="I270" s="9">
        <f>SUM(I271:I286)</f>
        <v>3786766.68</v>
      </c>
      <c r="J270" s="9">
        <f>SUM(J284:J286)</f>
        <v>1392</v>
      </c>
      <c r="K270" s="9">
        <f>SUM(K284:K286)</f>
        <v>246647.89</v>
      </c>
      <c r="L270" s="9">
        <f>SUM(L284:L286)</f>
        <v>466160.74999999994</v>
      </c>
      <c r="M270" s="22">
        <v>0</v>
      </c>
    </row>
    <row r="271" spans="1:13" ht="13.5" hidden="1">
      <c r="A271" s="25"/>
      <c r="B271" s="11" t="s">
        <v>74</v>
      </c>
      <c r="C271" s="12">
        <v>26444293</v>
      </c>
      <c r="D271" s="12"/>
      <c r="E271" s="10">
        <v>3131.04</v>
      </c>
      <c r="F271" s="12">
        <v>575897</v>
      </c>
      <c r="G271" s="10">
        <f t="shared" si="33"/>
        <v>-572765.96</v>
      </c>
      <c r="H271" s="19">
        <v>0.59</v>
      </c>
      <c r="I271" s="10">
        <v>126530.48</v>
      </c>
      <c r="J271" s="10">
        <v>8811</v>
      </c>
      <c r="K271" s="10"/>
      <c r="L271" s="10">
        <f>I271+J271-K271</f>
        <v>135341.47999999998</v>
      </c>
      <c r="M271" s="22">
        <f>F271/C271</f>
        <v>0.02177774236581027</v>
      </c>
    </row>
    <row r="272" spans="1:13" ht="13.5" hidden="1">
      <c r="A272" s="25"/>
      <c r="B272" s="11" t="s">
        <v>44</v>
      </c>
      <c r="C272" s="12">
        <v>26444293</v>
      </c>
      <c r="D272" s="12"/>
      <c r="E272" s="10">
        <v>3242.07</v>
      </c>
      <c r="F272" s="12">
        <v>0</v>
      </c>
      <c r="G272" s="10">
        <f t="shared" si="33"/>
        <v>3242.07</v>
      </c>
      <c r="H272" s="19">
        <f>F272/(D272+E272)</f>
        <v>0</v>
      </c>
      <c r="I272" s="10">
        <v>69897.42</v>
      </c>
      <c r="J272" s="10">
        <f>4240</f>
        <v>4240</v>
      </c>
      <c r="K272" s="10">
        <f>-42.69</f>
        <v>-42.69</v>
      </c>
      <c r="L272" s="10">
        <f aca="true" t="shared" si="34" ref="L272:L286">I272+J272-K272</f>
        <v>74180.11</v>
      </c>
      <c r="M272" s="22">
        <f>F272/C272</f>
        <v>0</v>
      </c>
    </row>
    <row r="273" spans="1:13" ht="13.5" hidden="1">
      <c r="A273" s="25"/>
      <c r="B273" s="11" t="s">
        <v>45</v>
      </c>
      <c r="C273" s="12">
        <v>12591512</v>
      </c>
      <c r="D273" s="12"/>
      <c r="E273" s="10">
        <v>0</v>
      </c>
      <c r="F273" s="12">
        <v>0</v>
      </c>
      <c r="G273" s="10">
        <f t="shared" si="33"/>
        <v>0</v>
      </c>
      <c r="H273" s="19">
        <v>0.16</v>
      </c>
      <c r="I273" s="10">
        <v>19783.34</v>
      </c>
      <c r="J273" s="10"/>
      <c r="K273" s="10">
        <f>4238.28+15545.06</f>
        <v>19783.34</v>
      </c>
      <c r="L273" s="10">
        <f t="shared" si="34"/>
        <v>0</v>
      </c>
      <c r="M273" s="22">
        <f aca="true" t="shared" si="35" ref="M273:M281">F273/C273</f>
        <v>0</v>
      </c>
    </row>
    <row r="274" spans="1:13" ht="13.5" hidden="1">
      <c r="A274" s="25"/>
      <c r="B274" s="11" t="s">
        <v>46</v>
      </c>
      <c r="C274" s="12">
        <v>25407614.43</v>
      </c>
      <c r="D274" s="12"/>
      <c r="E274" s="10">
        <v>293.05</v>
      </c>
      <c r="F274" s="12">
        <v>0</v>
      </c>
      <c r="G274" s="10">
        <f t="shared" si="33"/>
        <v>293.05</v>
      </c>
      <c r="H274" s="19">
        <f>F274/(D274+E274)</f>
        <v>0</v>
      </c>
      <c r="I274" s="10">
        <v>77281.37</v>
      </c>
      <c r="J274" s="10"/>
      <c r="K274" s="10"/>
      <c r="L274" s="10">
        <f t="shared" si="34"/>
        <v>77281.37</v>
      </c>
      <c r="M274" s="22">
        <f t="shared" si="35"/>
        <v>0</v>
      </c>
    </row>
    <row r="275" spans="1:13" ht="13.5" hidden="1">
      <c r="A275" s="25"/>
      <c r="B275" s="11" t="s">
        <v>47</v>
      </c>
      <c r="C275" s="12">
        <v>1057470</v>
      </c>
      <c r="D275" s="12"/>
      <c r="E275" s="10">
        <v>214.44</v>
      </c>
      <c r="F275" s="12">
        <v>96236.08</v>
      </c>
      <c r="G275" s="10">
        <f t="shared" si="33"/>
        <v>-96021.64</v>
      </c>
      <c r="H275" s="19">
        <f>F275/(D275+E275)</f>
        <v>448.7785860846857</v>
      </c>
      <c r="I275" s="10">
        <v>10102.79</v>
      </c>
      <c r="J275" s="10"/>
      <c r="K275" s="10">
        <v>8843.68</v>
      </c>
      <c r="L275" s="10">
        <f t="shared" si="34"/>
        <v>1259.1100000000006</v>
      </c>
      <c r="M275" s="22">
        <f t="shared" si="35"/>
        <v>0.09100596707235194</v>
      </c>
    </row>
    <row r="276" spans="1:13" ht="13.5" hidden="1">
      <c r="A276" s="25"/>
      <c r="B276" s="11" t="s">
        <v>48</v>
      </c>
      <c r="C276" s="12">
        <v>12329603</v>
      </c>
      <c r="D276" s="12"/>
      <c r="E276" s="10">
        <v>0</v>
      </c>
      <c r="F276" s="12">
        <v>2048744.56</v>
      </c>
      <c r="G276" s="10">
        <f t="shared" si="33"/>
        <v>-2048744.56</v>
      </c>
      <c r="H276" s="19">
        <v>0</v>
      </c>
      <c r="I276" s="10">
        <v>1983046.48</v>
      </c>
      <c r="J276" s="10"/>
      <c r="K276" s="10">
        <v>43500</v>
      </c>
      <c r="L276" s="10">
        <f t="shared" si="34"/>
        <v>1939546.48</v>
      </c>
      <c r="M276" s="22">
        <f t="shared" si="35"/>
        <v>0.16616468186364153</v>
      </c>
    </row>
    <row r="277" spans="1:13" ht="13.5" hidden="1">
      <c r="A277" s="25"/>
      <c r="B277" s="11" t="s">
        <v>49</v>
      </c>
      <c r="C277" s="12">
        <v>1167126</v>
      </c>
      <c r="D277" s="12"/>
      <c r="E277" s="10">
        <v>135.71</v>
      </c>
      <c r="F277" s="12">
        <v>307056.51</v>
      </c>
      <c r="G277" s="10">
        <f t="shared" si="33"/>
        <v>-306920.8</v>
      </c>
      <c r="H277" s="19">
        <v>0.36</v>
      </c>
      <c r="I277" s="10">
        <v>0</v>
      </c>
      <c r="J277" s="10"/>
      <c r="K277" s="10"/>
      <c r="L277" s="10">
        <f t="shared" si="34"/>
        <v>0</v>
      </c>
      <c r="M277" s="22">
        <f t="shared" si="35"/>
        <v>0.26308771289475175</v>
      </c>
    </row>
    <row r="278" spans="1:13" ht="13.5" hidden="1">
      <c r="A278" s="25"/>
      <c r="B278" s="11" t="s">
        <v>50</v>
      </c>
      <c r="C278" s="12">
        <v>161698</v>
      </c>
      <c r="D278" s="12"/>
      <c r="E278" s="10">
        <v>71.35</v>
      </c>
      <c r="F278" s="12">
        <v>47976.46</v>
      </c>
      <c r="G278" s="10">
        <f t="shared" si="33"/>
        <v>-47905.11</v>
      </c>
      <c r="H278" s="19">
        <f>F278/(D278+E278)</f>
        <v>672.4100911002103</v>
      </c>
      <c r="I278" s="10">
        <v>0</v>
      </c>
      <c r="J278" s="10"/>
      <c r="K278" s="10"/>
      <c r="L278" s="10">
        <f t="shared" si="34"/>
        <v>0</v>
      </c>
      <c r="M278" s="22">
        <f t="shared" si="35"/>
        <v>0.2967041027099902</v>
      </c>
    </row>
    <row r="279" spans="1:13" ht="13.5" hidden="1">
      <c r="A279" s="25"/>
      <c r="B279" s="11" t="s">
        <v>51</v>
      </c>
      <c r="C279" s="12">
        <v>44192</v>
      </c>
      <c r="D279" s="12"/>
      <c r="E279" s="10">
        <v>20.04</v>
      </c>
      <c r="F279" s="12">
        <v>0</v>
      </c>
      <c r="G279" s="10">
        <f t="shared" si="33"/>
        <v>20.04</v>
      </c>
      <c r="H279" s="19">
        <f>F279/(D279+E279)</f>
        <v>0</v>
      </c>
      <c r="I279" s="10">
        <v>20685.95</v>
      </c>
      <c r="J279" s="10"/>
      <c r="K279" s="10">
        <v>0</v>
      </c>
      <c r="L279" s="10">
        <f t="shared" si="34"/>
        <v>20685.95</v>
      </c>
      <c r="M279" s="22">
        <f t="shared" si="35"/>
        <v>0</v>
      </c>
    </row>
    <row r="280" spans="1:13" ht="13.5" hidden="1">
      <c r="A280" s="25"/>
      <c r="B280" s="11" t="s">
        <v>52</v>
      </c>
      <c r="C280" s="12">
        <v>439401</v>
      </c>
      <c r="D280" s="12"/>
      <c r="E280" s="10">
        <v>115.5</v>
      </c>
      <c r="F280" s="12">
        <v>0</v>
      </c>
      <c r="G280" s="10">
        <f t="shared" si="33"/>
        <v>115.5</v>
      </c>
      <c r="H280" s="19">
        <f>F280/(D280+E280)</f>
        <v>0</v>
      </c>
      <c r="I280" s="10">
        <v>30493.66</v>
      </c>
      <c r="J280" s="10"/>
      <c r="K280" s="10">
        <v>251661.15</v>
      </c>
      <c r="L280" s="10">
        <f t="shared" si="34"/>
        <v>-221167.49</v>
      </c>
      <c r="M280" s="22">
        <f t="shared" si="35"/>
        <v>0</v>
      </c>
    </row>
    <row r="281" spans="1:13" ht="13.5" hidden="1">
      <c r="A281" s="25"/>
      <c r="B281" s="11" t="s">
        <v>53</v>
      </c>
      <c r="C281" s="12">
        <v>102492.78</v>
      </c>
      <c r="D281" s="12"/>
      <c r="E281" s="10">
        <v>0</v>
      </c>
      <c r="F281" s="12">
        <v>56238</v>
      </c>
      <c r="G281" s="10">
        <f t="shared" si="33"/>
        <v>-56238</v>
      </c>
      <c r="H281" s="19">
        <v>0</v>
      </c>
      <c r="I281" s="10">
        <v>78297.26</v>
      </c>
      <c r="J281" s="10">
        <v>8843.68</v>
      </c>
      <c r="K281" s="10"/>
      <c r="L281" s="10">
        <f t="shared" si="34"/>
        <v>87140.94</v>
      </c>
      <c r="M281" s="22">
        <f t="shared" si="35"/>
        <v>0.5487020646722628</v>
      </c>
    </row>
    <row r="282" spans="1:13" ht="13.5" hidden="1">
      <c r="A282" s="25"/>
      <c r="B282" s="11" t="s">
        <v>55</v>
      </c>
      <c r="C282" s="12">
        <v>0</v>
      </c>
      <c r="D282" s="12"/>
      <c r="E282" s="10">
        <v>720.39</v>
      </c>
      <c r="F282" s="12">
        <v>558242.64</v>
      </c>
      <c r="G282" s="10">
        <f t="shared" si="33"/>
        <v>-557522.25</v>
      </c>
      <c r="H282" s="19">
        <v>0.04</v>
      </c>
      <c r="I282" s="10">
        <v>557061.43</v>
      </c>
      <c r="J282" s="10"/>
      <c r="K282" s="10">
        <v>0</v>
      </c>
      <c r="L282" s="10">
        <f t="shared" si="34"/>
        <v>557061.43</v>
      </c>
      <c r="M282" s="22">
        <v>0</v>
      </c>
    </row>
    <row r="283" spans="1:13" ht="13.5" hidden="1">
      <c r="A283" s="25"/>
      <c r="B283" s="11" t="s">
        <v>58</v>
      </c>
      <c r="C283" s="12">
        <v>0</v>
      </c>
      <c r="D283" s="12"/>
      <c r="E283" s="10">
        <v>0</v>
      </c>
      <c r="F283" s="12">
        <v>54500</v>
      </c>
      <c r="G283" s="10">
        <f t="shared" si="33"/>
        <v>-54500</v>
      </c>
      <c r="H283" s="19">
        <v>0</v>
      </c>
      <c r="I283" s="10">
        <v>102169.86</v>
      </c>
      <c r="J283" s="10"/>
      <c r="K283" s="10"/>
      <c r="L283" s="10">
        <f t="shared" si="34"/>
        <v>102169.86</v>
      </c>
      <c r="M283" s="22">
        <v>0</v>
      </c>
    </row>
    <row r="284" spans="1:13" ht="13.5" hidden="1">
      <c r="A284" s="25"/>
      <c r="B284" s="11" t="s">
        <v>41</v>
      </c>
      <c r="C284" s="12">
        <v>0</v>
      </c>
      <c r="D284" s="12"/>
      <c r="E284" s="10">
        <v>16.51</v>
      </c>
      <c r="F284" s="12">
        <v>0</v>
      </c>
      <c r="G284" s="10">
        <f t="shared" si="33"/>
        <v>16.51</v>
      </c>
      <c r="H284" s="19">
        <v>0</v>
      </c>
      <c r="I284" s="10">
        <v>35532.72</v>
      </c>
      <c r="J284" s="10">
        <v>0</v>
      </c>
      <c r="K284" s="10">
        <v>0</v>
      </c>
      <c r="L284" s="10">
        <f t="shared" si="34"/>
        <v>35532.72</v>
      </c>
      <c r="M284" s="22">
        <v>0</v>
      </c>
    </row>
    <row r="285" spans="1:13" ht="13.5" hidden="1">
      <c r="A285" s="25"/>
      <c r="B285" s="11" t="s">
        <v>56</v>
      </c>
      <c r="C285" s="12"/>
      <c r="D285" s="12"/>
      <c r="E285" s="10">
        <f>73.6+33.68</f>
        <v>107.28</v>
      </c>
      <c r="F285" s="12">
        <v>0</v>
      </c>
      <c r="G285" s="10">
        <f t="shared" si="33"/>
        <v>107.28</v>
      </c>
      <c r="H285" s="19">
        <f>F285/(D285+E285)</f>
        <v>0</v>
      </c>
      <c r="I285" s="10">
        <f>113161.24+115.58+51772.41</f>
        <v>165049.23</v>
      </c>
      <c r="J285" s="10">
        <v>0</v>
      </c>
      <c r="K285" s="10">
        <v>0</v>
      </c>
      <c r="L285" s="10">
        <f t="shared" si="34"/>
        <v>165049.23</v>
      </c>
      <c r="M285" s="22">
        <v>0</v>
      </c>
    </row>
    <row r="286" spans="1:13" ht="13.5" hidden="1">
      <c r="A286" s="25"/>
      <c r="B286" s="11" t="s">
        <v>43</v>
      </c>
      <c r="C286" s="12">
        <v>0</v>
      </c>
      <c r="D286" s="12"/>
      <c r="E286" s="10">
        <f>5.03+159.55+37.69+59.92+62.45+89.41</f>
        <v>414.04999999999995</v>
      </c>
      <c r="F286" s="12">
        <v>0</v>
      </c>
      <c r="G286" s="10">
        <f t="shared" si="33"/>
        <v>414.04999999999995</v>
      </c>
      <c r="H286" s="19">
        <f>F286/(D286+E286)</f>
        <v>0</v>
      </c>
      <c r="I286" s="10">
        <f>10479.47+245318.56+57949.7+8076.49+92124.85+875.23+96010.39</f>
        <v>510834.68999999994</v>
      </c>
      <c r="J286" s="10">
        <f>696+696</f>
        <v>1392</v>
      </c>
      <c r="K286" s="10">
        <f>148258.24+6806.29+91583.36</f>
        <v>246647.89</v>
      </c>
      <c r="L286" s="10">
        <f t="shared" si="34"/>
        <v>265578.79999999993</v>
      </c>
      <c r="M286" s="22">
        <v>0</v>
      </c>
    </row>
    <row r="287" spans="1:13" ht="13.5" hidden="1">
      <c r="A287" s="25"/>
      <c r="B287" s="13" t="s">
        <v>7</v>
      </c>
      <c r="C287" s="9">
        <f>C249+C256+C270</f>
        <v>104346832.94</v>
      </c>
      <c r="D287" s="9">
        <f>D249+D256+D270</f>
        <v>30891535.87</v>
      </c>
      <c r="E287" s="9">
        <f>E249+E256+E270</f>
        <v>8503.53</v>
      </c>
      <c r="F287" s="9">
        <f>F249+F256+F270</f>
        <v>16538851.48</v>
      </c>
      <c r="G287" s="9">
        <f>D287+E287-F287</f>
        <v>14361187.920000002</v>
      </c>
      <c r="H287" s="20"/>
      <c r="I287" s="9">
        <f>I270+I256+I249</f>
        <v>22165142.549999997</v>
      </c>
      <c r="J287" s="9">
        <f>J270+J256+J249</f>
        <v>233187.31000000003</v>
      </c>
      <c r="K287" s="9">
        <f>K270+K256+K249</f>
        <v>553742.36</v>
      </c>
      <c r="L287" s="9">
        <f>L270+L256+L249</f>
        <v>18769237.459999997</v>
      </c>
      <c r="M287" s="23"/>
    </row>
    <row r="288" spans="1:13" ht="1.5" customHeight="1" hidden="1">
      <c r="A288" s="25"/>
      <c r="B288" s="51"/>
      <c r="C288" s="52"/>
      <c r="D288" s="52"/>
      <c r="E288" s="52"/>
      <c r="F288" s="52"/>
      <c r="G288" s="52"/>
      <c r="H288" s="53"/>
      <c r="I288" s="52"/>
      <c r="J288" s="52"/>
      <c r="K288" s="52"/>
      <c r="L288" s="52"/>
      <c r="M288" s="54"/>
    </row>
    <row r="289" spans="1:13" ht="12.75" hidden="1">
      <c r="A289" s="25"/>
      <c r="B289" s="25"/>
      <c r="C289" s="26"/>
      <c r="D289" s="98" t="s">
        <v>11</v>
      </c>
      <c r="E289" s="98"/>
      <c r="F289" s="98"/>
      <c r="G289" s="98"/>
      <c r="H289" s="98"/>
      <c r="I289" s="98"/>
      <c r="J289" s="98"/>
      <c r="K289" s="26"/>
      <c r="L289" s="26"/>
      <c r="M289" s="47"/>
    </row>
    <row r="290" spans="1:13" ht="13.5" hidden="1">
      <c r="A290" s="25"/>
      <c r="B290" s="25"/>
      <c r="C290" s="99" t="s">
        <v>3</v>
      </c>
      <c r="D290" s="99"/>
      <c r="E290" s="118" t="s">
        <v>4</v>
      </c>
      <c r="F290" s="119"/>
      <c r="G290" s="119"/>
      <c r="H290" s="120"/>
      <c r="I290" s="63" t="s">
        <v>54</v>
      </c>
      <c r="J290" s="28" t="s">
        <v>0</v>
      </c>
      <c r="K290" s="25"/>
      <c r="L290" s="29"/>
      <c r="M290" s="30"/>
    </row>
    <row r="291" spans="1:13" ht="13.5" hidden="1">
      <c r="A291" s="25"/>
      <c r="B291" s="25"/>
      <c r="C291" s="103" t="s">
        <v>31</v>
      </c>
      <c r="D291" s="103"/>
      <c r="E291" s="92">
        <v>5971553.53</v>
      </c>
      <c r="F291" s="93"/>
      <c r="G291" s="93"/>
      <c r="H291" s="94"/>
      <c r="I291" s="45">
        <v>500158.33</v>
      </c>
      <c r="J291" s="31">
        <v>0.83</v>
      </c>
      <c r="K291" s="25"/>
      <c r="L291" s="29"/>
      <c r="M291" s="30"/>
    </row>
    <row r="292" spans="1:13" ht="13.5" hidden="1">
      <c r="A292" s="25"/>
      <c r="B292" s="25"/>
      <c r="C292" s="91" t="s">
        <v>32</v>
      </c>
      <c r="D292" s="91"/>
      <c r="E292" s="92">
        <v>5748248.07</v>
      </c>
      <c r="F292" s="93"/>
      <c r="G292" s="93"/>
      <c r="H292" s="94"/>
      <c r="I292" s="45">
        <v>325802.42</v>
      </c>
      <c r="J292" s="31">
        <v>0.56</v>
      </c>
      <c r="K292" s="26"/>
      <c r="L292" s="29"/>
      <c r="M292" s="30"/>
    </row>
    <row r="293" spans="1:13" ht="5.25" customHeight="1" hidden="1">
      <c r="A293" s="25"/>
      <c r="B293" s="25"/>
      <c r="C293" s="48"/>
      <c r="D293" s="48"/>
      <c r="E293" s="49"/>
      <c r="F293" s="49"/>
      <c r="G293" s="49"/>
      <c r="H293" s="49"/>
      <c r="I293" s="49"/>
      <c r="J293" s="50"/>
      <c r="K293" s="26"/>
      <c r="L293" s="29"/>
      <c r="M293" s="30"/>
    </row>
    <row r="294" spans="1:13" ht="16.5" hidden="1">
      <c r="A294" s="25"/>
      <c r="B294" s="32"/>
      <c r="C294" s="95" t="s">
        <v>5</v>
      </c>
      <c r="D294" s="95"/>
      <c r="E294" s="33"/>
      <c r="F294" s="34"/>
      <c r="G294" s="34"/>
      <c r="H294" s="34" t="s">
        <v>28</v>
      </c>
      <c r="I294" s="35"/>
      <c r="J294" s="96" t="s">
        <v>29</v>
      </c>
      <c r="K294" s="96"/>
      <c r="L294" s="96"/>
      <c r="M294" s="36"/>
    </row>
    <row r="295" spans="1:13" ht="9.75" customHeight="1" hidden="1">
      <c r="A295" s="25"/>
      <c r="B295" s="32"/>
      <c r="C295" s="37"/>
      <c r="D295" s="64"/>
      <c r="E295" s="33"/>
      <c r="F295" s="34"/>
      <c r="G295" s="34"/>
      <c r="H295" s="38"/>
      <c r="I295" s="35"/>
      <c r="J295" s="39"/>
      <c r="K295" s="39"/>
      <c r="L295" s="40"/>
      <c r="M295" s="36"/>
    </row>
    <row r="296" spans="1:13" ht="16.5" hidden="1">
      <c r="A296" s="25"/>
      <c r="B296" s="41"/>
      <c r="C296" s="95" t="s">
        <v>30</v>
      </c>
      <c r="D296" s="95"/>
      <c r="E296" s="33"/>
      <c r="F296" s="34"/>
      <c r="G296" s="34"/>
      <c r="H296" s="34" t="s">
        <v>38</v>
      </c>
      <c r="I296" s="35"/>
      <c r="J296" s="96" t="s">
        <v>39</v>
      </c>
      <c r="K296" s="96"/>
      <c r="L296" s="96"/>
      <c r="M296" s="18"/>
    </row>
    <row r="297" spans="1:13" ht="16.5" hidden="1">
      <c r="A297" s="25"/>
      <c r="B297" s="41"/>
      <c r="C297" s="88" t="s">
        <v>40</v>
      </c>
      <c r="D297" s="89"/>
      <c r="E297" s="33"/>
      <c r="F297" s="42"/>
      <c r="G297" s="42"/>
      <c r="H297" s="42" t="s">
        <v>36</v>
      </c>
      <c r="I297" s="35"/>
      <c r="J297" s="90" t="s">
        <v>37</v>
      </c>
      <c r="K297" s="90"/>
      <c r="L297" s="90"/>
      <c r="M297" s="24"/>
    </row>
    <row r="298" spans="1:13" ht="15.75" hidden="1">
      <c r="A298" s="25"/>
      <c r="B298" s="46" t="s">
        <v>34</v>
      </c>
      <c r="C298" s="43"/>
      <c r="D298" s="43"/>
      <c r="E298" s="43"/>
      <c r="F298" s="44"/>
      <c r="G298" s="44"/>
      <c r="H298" s="27"/>
      <c r="I298" s="43"/>
      <c r="J298" s="44"/>
      <c r="K298" s="43"/>
      <c r="L298" s="43"/>
      <c r="M298" s="24"/>
    </row>
    <row r="299" spans="2:9" ht="12.75" hidden="1">
      <c r="B299" s="76" t="s">
        <v>79</v>
      </c>
      <c r="D299" s="109" t="s">
        <v>78</v>
      </c>
      <c r="E299" s="109"/>
      <c r="G299" s="110" t="s">
        <v>80</v>
      </c>
      <c r="H299" s="110"/>
      <c r="I299" s="110"/>
    </row>
    <row r="300" spans="1:13" ht="15.75">
      <c r="A300" s="25"/>
      <c r="B300" s="111" t="s">
        <v>26</v>
      </c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1:13" ht="9" customHeight="1">
      <c r="A301" s="25"/>
      <c r="B301" s="79"/>
      <c r="C301" s="80"/>
      <c r="D301" s="80"/>
      <c r="E301" s="80"/>
      <c r="F301" s="80"/>
      <c r="G301" s="80"/>
      <c r="H301" s="81"/>
      <c r="I301" s="80"/>
      <c r="J301" s="80"/>
      <c r="K301" s="80"/>
      <c r="L301" s="80"/>
      <c r="M301" s="81"/>
    </row>
    <row r="302" spans="1:13" ht="15.75">
      <c r="A302" s="25"/>
      <c r="B302" s="111" t="s">
        <v>6</v>
      </c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</row>
    <row r="303" spans="1:13" ht="16.5">
      <c r="A303" s="25"/>
      <c r="B303" s="112" t="s">
        <v>60</v>
      </c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</row>
    <row r="304" spans="1:13" ht="16.5">
      <c r="A304" s="25"/>
      <c r="B304" s="113" t="s">
        <v>82</v>
      </c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</row>
    <row r="305" spans="1:13" ht="15.75">
      <c r="A305" s="25"/>
      <c r="B305" s="82" t="s">
        <v>15</v>
      </c>
      <c r="C305" s="83"/>
      <c r="D305" s="83"/>
      <c r="E305" s="83"/>
      <c r="F305" s="83"/>
      <c r="G305" s="83"/>
      <c r="H305" s="84"/>
      <c r="I305" s="83"/>
      <c r="J305" s="83"/>
      <c r="K305" s="83"/>
      <c r="L305" s="83"/>
      <c r="M305" s="84"/>
    </row>
    <row r="306" spans="1:12" ht="13.5">
      <c r="A306" s="25"/>
      <c r="C306" s="2"/>
      <c r="D306" s="104" t="s">
        <v>1</v>
      </c>
      <c r="E306" s="104"/>
      <c r="F306" s="105"/>
      <c r="G306" s="105"/>
      <c r="H306" s="105"/>
      <c r="I306" s="104" t="s">
        <v>2</v>
      </c>
      <c r="J306" s="104"/>
      <c r="K306" s="104"/>
      <c r="L306" s="104"/>
    </row>
    <row r="307" spans="1:13" ht="13.5">
      <c r="A307" s="25"/>
      <c r="B307" s="106" t="s">
        <v>8</v>
      </c>
      <c r="C307" s="108" t="s">
        <v>12</v>
      </c>
      <c r="D307" s="108" t="s">
        <v>13</v>
      </c>
      <c r="E307" s="108" t="s">
        <v>16</v>
      </c>
      <c r="F307" s="97" t="s">
        <v>14</v>
      </c>
      <c r="G307" s="66"/>
      <c r="H307" s="97" t="s">
        <v>0</v>
      </c>
      <c r="I307" s="97" t="s">
        <v>22</v>
      </c>
      <c r="J307" s="97" t="s">
        <v>23</v>
      </c>
      <c r="K307" s="97" t="s">
        <v>24</v>
      </c>
      <c r="L307" s="97" t="s">
        <v>25</v>
      </c>
      <c r="M307" s="67" t="s">
        <v>9</v>
      </c>
    </row>
    <row r="308" spans="1:13" ht="13.5">
      <c r="A308" s="25"/>
      <c r="B308" s="107"/>
      <c r="C308" s="108"/>
      <c r="D308" s="108"/>
      <c r="E308" s="108"/>
      <c r="F308" s="97"/>
      <c r="G308" s="66"/>
      <c r="H308" s="97"/>
      <c r="I308" s="97"/>
      <c r="J308" s="97"/>
      <c r="K308" s="97"/>
      <c r="L308" s="97"/>
      <c r="M308" s="1" t="s">
        <v>10</v>
      </c>
    </row>
    <row r="309" spans="1:13" ht="13.5">
      <c r="A309" s="25"/>
      <c r="B309" s="8" t="s">
        <v>35</v>
      </c>
      <c r="C309" s="9">
        <f>SUM(C310:C315)</f>
        <v>10977566.75</v>
      </c>
      <c r="D309" s="9">
        <f>SUM(D310:D315)</f>
        <v>7432849.57</v>
      </c>
      <c r="E309" s="9">
        <v>40.82</v>
      </c>
      <c r="F309" s="9">
        <f>SUM(F310:F315)</f>
        <v>5694848.22</v>
      </c>
      <c r="G309" s="9">
        <f>D309+E309-F309</f>
        <v>1738042.1700000009</v>
      </c>
      <c r="H309" s="19">
        <f>F309/(D309+E309)</f>
        <v>0.766168733990977</v>
      </c>
      <c r="I309" s="9">
        <f>SUM(I310:I315)</f>
        <v>1753009.5</v>
      </c>
      <c r="J309" s="9">
        <f>SUM(J310:J315)</f>
        <v>2756.48</v>
      </c>
      <c r="K309" s="9">
        <f>K310</f>
        <v>21694.35</v>
      </c>
      <c r="L309" s="9">
        <f>I309+J309-K309</f>
        <v>1734071.63</v>
      </c>
      <c r="M309" s="22">
        <f>F309/C309</f>
        <v>0.5187714499663598</v>
      </c>
    </row>
    <row r="310" spans="1:13" ht="13.5">
      <c r="A310" s="25"/>
      <c r="B310" s="11" t="s">
        <v>17</v>
      </c>
      <c r="C310" s="12">
        <v>3664251.75</v>
      </c>
      <c r="D310" s="12">
        <v>3648462.4</v>
      </c>
      <c r="E310" s="10">
        <v>0</v>
      </c>
      <c r="F310" s="12">
        <v>5694848.22</v>
      </c>
      <c r="G310" s="10"/>
      <c r="H310" s="19"/>
      <c r="I310" s="10">
        <f>1028087.63+724921.87</f>
        <v>1753009.5</v>
      </c>
      <c r="J310" s="10">
        <v>2756.48</v>
      </c>
      <c r="K310" s="10">
        <f>18645.35+3049</f>
        <v>21694.35</v>
      </c>
      <c r="L310" s="10">
        <f>I310+J310-K310</f>
        <v>1734071.63</v>
      </c>
      <c r="M310" s="22"/>
    </row>
    <row r="311" spans="1:13" ht="13.5">
      <c r="A311" s="25"/>
      <c r="B311" s="11" t="s">
        <v>18</v>
      </c>
      <c r="C311" s="12">
        <v>5583543</v>
      </c>
      <c r="D311" s="12">
        <v>2912528.77</v>
      </c>
      <c r="E311" s="10">
        <v>0</v>
      </c>
      <c r="F311" s="12">
        <v>0</v>
      </c>
      <c r="G311" s="10"/>
      <c r="H311" s="19"/>
      <c r="I311" s="10">
        <v>0</v>
      </c>
      <c r="J311" s="10">
        <v>0</v>
      </c>
      <c r="K311" s="10">
        <v>0</v>
      </c>
      <c r="L311" s="10">
        <v>0</v>
      </c>
      <c r="M311" s="22"/>
    </row>
    <row r="312" spans="1:13" ht="13.5">
      <c r="A312" s="25"/>
      <c r="B312" s="11" t="s">
        <v>19</v>
      </c>
      <c r="C312" s="12">
        <v>543559</v>
      </c>
      <c r="D312" s="12">
        <v>155776</v>
      </c>
      <c r="E312" s="10">
        <v>0</v>
      </c>
      <c r="F312" s="12">
        <v>0</v>
      </c>
      <c r="G312" s="10"/>
      <c r="H312" s="19"/>
      <c r="I312" s="10">
        <v>0</v>
      </c>
      <c r="J312" s="10">
        <v>0</v>
      </c>
      <c r="K312" s="10">
        <v>0</v>
      </c>
      <c r="L312" s="10">
        <v>0</v>
      </c>
      <c r="M312" s="22"/>
    </row>
    <row r="313" spans="1:13" ht="13.5">
      <c r="A313" s="25"/>
      <c r="B313" s="11" t="s">
        <v>20</v>
      </c>
      <c r="C313" s="12">
        <v>1186213</v>
      </c>
      <c r="D313" s="12">
        <v>716082.4</v>
      </c>
      <c r="E313" s="10">
        <v>0</v>
      </c>
      <c r="F313" s="12">
        <v>0</v>
      </c>
      <c r="G313" s="10"/>
      <c r="H313" s="19"/>
      <c r="I313" s="10">
        <v>0</v>
      </c>
      <c r="J313" s="10">
        <v>0</v>
      </c>
      <c r="K313" s="10">
        <v>0</v>
      </c>
      <c r="L313" s="10">
        <v>0</v>
      </c>
      <c r="M313" s="22"/>
    </row>
    <row r="314" spans="1:13" ht="13.5">
      <c r="A314" s="25"/>
      <c r="B314" s="11" t="s">
        <v>21</v>
      </c>
      <c r="C314" s="12">
        <v>0</v>
      </c>
      <c r="D314" s="12">
        <v>0</v>
      </c>
      <c r="E314" s="10">
        <v>0</v>
      </c>
      <c r="F314" s="12">
        <v>0</v>
      </c>
      <c r="G314" s="10"/>
      <c r="H314" s="19"/>
      <c r="I314" s="10">
        <v>0</v>
      </c>
      <c r="J314" s="10">
        <v>0</v>
      </c>
      <c r="K314" s="10">
        <v>0</v>
      </c>
      <c r="L314" s="10">
        <v>0</v>
      </c>
      <c r="M314" s="22"/>
    </row>
    <row r="315" spans="1:13" ht="13.5">
      <c r="A315" s="25"/>
      <c r="B315" s="11" t="s">
        <v>42</v>
      </c>
      <c r="C315" s="12">
        <v>0</v>
      </c>
      <c r="D315" s="12">
        <v>0</v>
      </c>
      <c r="E315" s="10">
        <v>0</v>
      </c>
      <c r="F315" s="12">
        <v>0</v>
      </c>
      <c r="G315" s="10"/>
      <c r="H315" s="19"/>
      <c r="I315" s="10">
        <v>0</v>
      </c>
      <c r="J315" s="10">
        <v>0</v>
      </c>
      <c r="K315" s="10">
        <v>0</v>
      </c>
      <c r="L315" s="10">
        <v>0</v>
      </c>
      <c r="M315" s="22"/>
    </row>
    <row r="316" spans="1:13" ht="13.5">
      <c r="A316" s="25"/>
      <c r="B316" s="8" t="s">
        <v>27</v>
      </c>
      <c r="C316" s="9">
        <f>SUM(C317:C329)</f>
        <v>93369266.19</v>
      </c>
      <c r="D316" s="9">
        <f>SUM(D317:D329)</f>
        <v>50123972.7</v>
      </c>
      <c r="E316" s="9">
        <f>SUM(E317:E329)</f>
        <v>48.7</v>
      </c>
      <c r="F316" s="9">
        <f>SUM(F317:F329)</f>
        <v>31797877.25</v>
      </c>
      <c r="G316" s="9">
        <f>SUM(G317:G329)</f>
        <v>18326144.15</v>
      </c>
      <c r="H316" s="19">
        <f>F316/(D316+E316)</f>
        <v>0.6343840011607688</v>
      </c>
      <c r="I316" s="9">
        <f>SUM(I317:I330)</f>
        <v>18909707.810000002</v>
      </c>
      <c r="J316" s="9">
        <f>SUM(J317:J330)</f>
        <v>461256.21</v>
      </c>
      <c r="K316" s="9">
        <f>SUM(K317:K330)</f>
        <v>252362.22000000003</v>
      </c>
      <c r="L316" s="9">
        <f>SUM(L317:L330)</f>
        <v>19070669</v>
      </c>
      <c r="M316" s="22">
        <f>F316/C316</f>
        <v>0.34056042793882</v>
      </c>
    </row>
    <row r="317" spans="1:13" ht="13.5">
      <c r="A317" s="25"/>
      <c r="B317" s="11" t="s">
        <v>61</v>
      </c>
      <c r="C317" s="12">
        <v>31868879</v>
      </c>
      <c r="D317" s="12">
        <v>17145058.03</v>
      </c>
      <c r="E317" s="10">
        <v>0</v>
      </c>
      <c r="F317" s="12">
        <v>11916343.27</v>
      </c>
      <c r="G317" s="10">
        <f aca="true" t="shared" si="36" ref="G317:G330">D317+E317-F317</f>
        <v>5228714.760000002</v>
      </c>
      <c r="H317" s="19">
        <f aca="true" t="shared" si="37" ref="H317:H348">F317/(D317+E317)</f>
        <v>0.6950307924971193</v>
      </c>
      <c r="I317" s="10">
        <v>5412051.37</v>
      </c>
      <c r="J317" s="10">
        <v>6454.8</v>
      </c>
      <c r="K317" s="10">
        <f>178014.68+8301.92</f>
        <v>186316.6</v>
      </c>
      <c r="L317" s="10">
        <f>I317+J317-K317</f>
        <v>5232189.57</v>
      </c>
      <c r="M317" s="22">
        <f aca="true" t="shared" si="38" ref="M317:M328">F317/C317</f>
        <v>0.3739178673338337</v>
      </c>
    </row>
    <row r="318" spans="1:14" ht="13.5">
      <c r="A318" s="25"/>
      <c r="B318" s="11" t="s">
        <v>62</v>
      </c>
      <c r="C318" s="12">
        <v>13235444</v>
      </c>
      <c r="D318" s="12">
        <v>7212417.86</v>
      </c>
      <c r="E318" s="10">
        <v>0</v>
      </c>
      <c r="F318" s="12">
        <v>6106698.4</v>
      </c>
      <c r="G318" s="10">
        <f t="shared" si="36"/>
        <v>1105719.46</v>
      </c>
      <c r="H318" s="19">
        <f t="shared" si="37"/>
        <v>0.8466922630575373</v>
      </c>
      <c r="I318" s="10">
        <v>1123209.56</v>
      </c>
      <c r="J318" s="10">
        <v>0</v>
      </c>
      <c r="K318" s="10">
        <v>18112.82</v>
      </c>
      <c r="L318" s="10">
        <f aca="true" t="shared" si="39" ref="L318:L329">I318+J318-K318</f>
        <v>1105096.74</v>
      </c>
      <c r="M318" s="22">
        <f t="shared" si="38"/>
        <v>0.46138976523945857</v>
      </c>
      <c r="N318" s="16"/>
    </row>
    <row r="319" spans="1:14" ht="13.5">
      <c r="A319" s="25"/>
      <c r="B319" s="11" t="s">
        <v>63</v>
      </c>
      <c r="C319" s="12">
        <v>1255332</v>
      </c>
      <c r="D319" s="12">
        <v>650208.76</v>
      </c>
      <c r="E319" s="10">
        <v>0</v>
      </c>
      <c r="F319" s="12">
        <v>601150.98</v>
      </c>
      <c r="G319" s="10">
        <f t="shared" si="36"/>
        <v>49057.78000000003</v>
      </c>
      <c r="H319" s="19">
        <f t="shared" si="37"/>
        <v>0.924550724293533</v>
      </c>
      <c r="I319" s="10">
        <v>49366.59</v>
      </c>
      <c r="J319" s="10">
        <v>0</v>
      </c>
      <c r="K319" s="10">
        <v>0</v>
      </c>
      <c r="L319" s="10">
        <f t="shared" si="39"/>
        <v>49366.59</v>
      </c>
      <c r="M319" s="22">
        <f t="shared" si="38"/>
        <v>0.4788780816548929</v>
      </c>
      <c r="N319" s="16"/>
    </row>
    <row r="320" spans="1:13" ht="13.5">
      <c r="A320" s="25"/>
      <c r="B320" s="11" t="s">
        <v>66</v>
      </c>
      <c r="C320" s="12">
        <v>54835</v>
      </c>
      <c r="D320" s="12">
        <v>27417.36</v>
      </c>
      <c r="E320" s="10">
        <v>0</v>
      </c>
      <c r="F320" s="12">
        <v>17784.24</v>
      </c>
      <c r="G320" s="10">
        <f t="shared" si="36"/>
        <v>9633.119999999999</v>
      </c>
      <c r="H320" s="19">
        <f t="shared" si="37"/>
        <v>0.6486488852318386</v>
      </c>
      <c r="I320" s="10">
        <v>9633.12</v>
      </c>
      <c r="J320" s="10">
        <v>0</v>
      </c>
      <c r="K320" s="10">
        <v>0</v>
      </c>
      <c r="L320" s="10">
        <f t="shared" si="39"/>
        <v>9633.12</v>
      </c>
      <c r="M320" s="22">
        <f t="shared" si="38"/>
        <v>0.32432278654144253</v>
      </c>
    </row>
    <row r="321" spans="1:13" ht="13.5">
      <c r="A321" s="25"/>
      <c r="B321" s="11" t="s">
        <v>64</v>
      </c>
      <c r="C321" s="12">
        <v>270270</v>
      </c>
      <c r="D321" s="12">
        <v>170960.39</v>
      </c>
      <c r="E321" s="10">
        <v>0</v>
      </c>
      <c r="F321" s="12">
        <v>145773.77</v>
      </c>
      <c r="G321" s="10">
        <f t="shared" si="36"/>
        <v>25186.620000000024</v>
      </c>
      <c r="H321" s="19">
        <f t="shared" si="37"/>
        <v>0.8526756987393395</v>
      </c>
      <c r="I321" s="10">
        <v>25186.62</v>
      </c>
      <c r="J321" s="10">
        <v>0</v>
      </c>
      <c r="K321" s="10">
        <v>0</v>
      </c>
      <c r="L321" s="10">
        <f t="shared" si="39"/>
        <v>25186.62</v>
      </c>
      <c r="M321" s="22">
        <f t="shared" si="38"/>
        <v>0.5393634883634884</v>
      </c>
    </row>
    <row r="322" spans="1:13" ht="13.5">
      <c r="A322" s="25"/>
      <c r="B322" s="11" t="s">
        <v>71</v>
      </c>
      <c r="C322" s="12">
        <v>510916</v>
      </c>
      <c r="D322" s="12">
        <v>288431.08</v>
      </c>
      <c r="E322" s="10">
        <v>7.88</v>
      </c>
      <c r="F322" s="12">
        <v>184134.62</v>
      </c>
      <c r="G322" s="10">
        <f t="shared" si="36"/>
        <v>104304.34000000003</v>
      </c>
      <c r="H322" s="19">
        <f t="shared" si="37"/>
        <v>0.6383833168723115</v>
      </c>
      <c r="I322" s="10">
        <v>99521.46</v>
      </c>
      <c r="J322" s="10">
        <v>0</v>
      </c>
      <c r="K322" s="10">
        <v>0</v>
      </c>
      <c r="L322" s="10">
        <f t="shared" si="39"/>
        <v>99521.46</v>
      </c>
      <c r="M322" s="22">
        <f t="shared" si="38"/>
        <v>0.36040096610793165</v>
      </c>
    </row>
    <row r="323" spans="1:13" ht="13.5">
      <c r="A323" s="25"/>
      <c r="B323" s="11" t="s">
        <v>65</v>
      </c>
      <c r="C323" s="12">
        <v>1292946</v>
      </c>
      <c r="D323" s="12">
        <v>282068.69</v>
      </c>
      <c r="E323" s="10">
        <v>0</v>
      </c>
      <c r="F323" s="12">
        <v>277869.58</v>
      </c>
      <c r="G323" s="10">
        <f t="shared" si="36"/>
        <v>4199.109999999986</v>
      </c>
      <c r="H323" s="19">
        <f t="shared" si="37"/>
        <v>0.9851131651655489</v>
      </c>
      <c r="I323" s="10">
        <v>4199.11</v>
      </c>
      <c r="J323" s="10">
        <v>0</v>
      </c>
      <c r="K323" s="10">
        <v>0</v>
      </c>
      <c r="L323" s="10">
        <f t="shared" si="39"/>
        <v>4199.11</v>
      </c>
      <c r="M323" s="22">
        <f t="shared" si="38"/>
        <v>0.21491197621555735</v>
      </c>
    </row>
    <row r="324" spans="1:13" ht="13.5">
      <c r="A324" s="25"/>
      <c r="B324" s="11" t="s">
        <v>67</v>
      </c>
      <c r="C324" s="12">
        <v>0</v>
      </c>
      <c r="D324" s="12">
        <f>37911.7+11381.61</f>
        <v>49293.31</v>
      </c>
      <c r="E324" s="10">
        <v>0</v>
      </c>
      <c r="F324" s="12">
        <v>30607.07</v>
      </c>
      <c r="G324" s="10">
        <f t="shared" si="36"/>
        <v>18686.239999999998</v>
      </c>
      <c r="H324" s="19">
        <f t="shared" si="37"/>
        <v>0.6209173212348694</v>
      </c>
      <c r="I324" s="10">
        <v>18686.24</v>
      </c>
      <c r="J324" s="10">
        <v>0</v>
      </c>
      <c r="K324" s="10">
        <v>0</v>
      </c>
      <c r="L324" s="10">
        <f t="shared" si="39"/>
        <v>18686.24</v>
      </c>
      <c r="M324" s="22">
        <v>0</v>
      </c>
    </row>
    <row r="325" spans="1:13" ht="13.5">
      <c r="A325" s="25"/>
      <c r="B325" s="11" t="s">
        <v>72</v>
      </c>
      <c r="C325" s="12">
        <v>1175368</v>
      </c>
      <c r="D325" s="12">
        <f>256012.14+139702.85</f>
        <v>395714.99</v>
      </c>
      <c r="E325" s="10">
        <v>39.57</v>
      </c>
      <c r="F325" s="12">
        <v>206055.6</v>
      </c>
      <c r="G325" s="10">
        <f t="shared" si="36"/>
        <v>189698.96</v>
      </c>
      <c r="H325" s="19">
        <f t="shared" si="37"/>
        <v>0.5206651314390415</v>
      </c>
      <c r="I325" s="10">
        <v>189698.96</v>
      </c>
      <c r="J325" s="10">
        <v>0</v>
      </c>
      <c r="K325" s="10">
        <v>0</v>
      </c>
      <c r="L325" s="10">
        <f t="shared" si="39"/>
        <v>189698.96</v>
      </c>
      <c r="M325" s="22">
        <f t="shared" si="38"/>
        <v>0.17531156199590256</v>
      </c>
    </row>
    <row r="326" spans="1:13" ht="13.5">
      <c r="A326" s="25"/>
      <c r="B326" s="11" t="s">
        <v>68</v>
      </c>
      <c r="C326" s="12">
        <v>14586232</v>
      </c>
      <c r="D326" s="12">
        <v>8751739.2</v>
      </c>
      <c r="E326" s="10">
        <v>0</v>
      </c>
      <c r="F326" s="12">
        <v>0</v>
      </c>
      <c r="G326" s="10">
        <f t="shared" si="36"/>
        <v>8751739.2</v>
      </c>
      <c r="H326" s="19">
        <f t="shared" si="37"/>
        <v>0</v>
      </c>
      <c r="I326" s="10">
        <v>8709687.96</v>
      </c>
      <c r="J326" s="10">
        <v>42051.24</v>
      </c>
      <c r="K326" s="10">
        <v>0</v>
      </c>
      <c r="L326" s="10">
        <f>I326+J326-K326</f>
        <v>8751739.200000001</v>
      </c>
      <c r="M326" s="22">
        <f t="shared" si="38"/>
        <v>0</v>
      </c>
    </row>
    <row r="327" spans="1:13" ht="13.5">
      <c r="A327" s="25"/>
      <c r="B327" s="11" t="s">
        <v>69</v>
      </c>
      <c r="C327" s="12">
        <v>27119044.19</v>
      </c>
      <c r="D327" s="12">
        <v>13559522.1</v>
      </c>
      <c r="E327" s="10">
        <v>1.25</v>
      </c>
      <c r="F327" s="12">
        <v>10889386.89</v>
      </c>
      <c r="G327" s="10">
        <f t="shared" si="36"/>
        <v>2670136.459999999</v>
      </c>
      <c r="H327" s="19">
        <f t="shared" si="37"/>
        <v>0.8030803597532062</v>
      </c>
      <c r="I327" s="10">
        <v>2708304.59</v>
      </c>
      <c r="J327" s="10">
        <v>9778.52</v>
      </c>
      <c r="K327" s="10">
        <v>47932.8</v>
      </c>
      <c r="L327" s="10">
        <f>I327+J327-K327</f>
        <v>2670150.31</v>
      </c>
      <c r="M327" s="22">
        <f t="shared" si="38"/>
        <v>0.40154021704110804</v>
      </c>
    </row>
    <row r="328" spans="1:13" ht="13.5">
      <c r="A328" s="25"/>
      <c r="B328" s="11" t="s">
        <v>70</v>
      </c>
      <c r="C328" s="12">
        <v>2000000</v>
      </c>
      <c r="D328" s="12">
        <v>1517794</v>
      </c>
      <c r="E328" s="10">
        <v>0</v>
      </c>
      <c r="F328" s="12">
        <v>1387178.83</v>
      </c>
      <c r="G328" s="10">
        <f t="shared" si="36"/>
        <v>130615.16999999993</v>
      </c>
      <c r="H328" s="19">
        <f t="shared" si="37"/>
        <v>0.91394407277931</v>
      </c>
      <c r="I328" s="10">
        <v>149303.43</v>
      </c>
      <c r="J328" s="10">
        <f>180+28652</f>
        <v>28832</v>
      </c>
      <c r="K328" s="14">
        <v>0</v>
      </c>
      <c r="L328" s="10">
        <f>I328+J328-K327</f>
        <v>130202.62999999999</v>
      </c>
      <c r="M328" s="22">
        <f t="shared" si="38"/>
        <v>0.693589415</v>
      </c>
    </row>
    <row r="329" spans="1:13" ht="13.5">
      <c r="A329" s="25"/>
      <c r="B329" s="11" t="s">
        <v>73</v>
      </c>
      <c r="C329" s="12">
        <v>0</v>
      </c>
      <c r="D329" s="12">
        <v>73346.93</v>
      </c>
      <c r="E329" s="10">
        <v>0</v>
      </c>
      <c r="F329" s="12">
        <v>34894</v>
      </c>
      <c r="G329" s="10">
        <f t="shared" si="36"/>
        <v>38452.92999999999</v>
      </c>
      <c r="H329" s="19">
        <f t="shared" si="37"/>
        <v>0.4757390663794654</v>
      </c>
      <c r="I329" s="10">
        <v>34998.45</v>
      </c>
      <c r="J329" s="10">
        <v>0</v>
      </c>
      <c r="K329" s="10">
        <v>0</v>
      </c>
      <c r="L329" s="10">
        <f t="shared" si="39"/>
        <v>34998.45</v>
      </c>
      <c r="M329" s="22">
        <v>0</v>
      </c>
    </row>
    <row r="330" spans="1:13" ht="13.5">
      <c r="A330" s="25"/>
      <c r="B330" s="11" t="s">
        <v>83</v>
      </c>
      <c r="C330" s="12">
        <v>0</v>
      </c>
      <c r="D330" s="12">
        <v>750000</v>
      </c>
      <c r="E330" s="10">
        <v>0</v>
      </c>
      <c r="F330" s="12">
        <v>0</v>
      </c>
      <c r="G330" s="10">
        <f t="shared" si="36"/>
        <v>750000</v>
      </c>
      <c r="H330" s="19">
        <f t="shared" si="37"/>
        <v>0</v>
      </c>
      <c r="I330" s="10">
        <v>375860.35</v>
      </c>
      <c r="J330" s="10">
        <v>374139.65</v>
      </c>
      <c r="K330" s="10"/>
      <c r="L330" s="10">
        <f>I330+J330-K330</f>
        <v>750000</v>
      </c>
      <c r="M330" s="22"/>
    </row>
    <row r="331" spans="1:13" ht="13.5">
      <c r="A331" s="25"/>
      <c r="B331" s="8" t="s">
        <v>33</v>
      </c>
      <c r="C331" s="9">
        <f>SUM(C345:C347)</f>
        <v>0</v>
      </c>
      <c r="D331" s="9">
        <f>SUM(D345:D348)</f>
        <v>0</v>
      </c>
      <c r="E331" s="9">
        <f>SUM(E332:E348)</f>
        <v>8481.43</v>
      </c>
      <c r="F331" s="9">
        <f>SUM(F332:F348)</f>
        <v>10143591.750000002</v>
      </c>
      <c r="G331" s="9">
        <f aca="true" t="shared" si="40" ref="G331:G348">D331+E331-F331</f>
        <v>-10135110.320000002</v>
      </c>
      <c r="H331" s="19"/>
      <c r="I331" s="9">
        <f>SUM(I332:I348)</f>
        <v>950160.44</v>
      </c>
      <c r="J331" s="9">
        <f>SUM(J345:J348)</f>
        <v>4176</v>
      </c>
      <c r="K331" s="9">
        <f>SUM(K345:K348)</f>
        <v>287961.08999999997</v>
      </c>
      <c r="L331" s="9">
        <f>SUM(L345:L348)</f>
        <v>390594.15</v>
      </c>
      <c r="M331" s="22">
        <v>0</v>
      </c>
    </row>
    <row r="332" spans="1:13" ht="13.5">
      <c r="A332" s="25"/>
      <c r="B332" s="11" t="s">
        <v>74</v>
      </c>
      <c r="C332" s="12">
        <v>26444293</v>
      </c>
      <c r="D332" s="12">
        <v>0</v>
      </c>
      <c r="E332" s="10">
        <v>3131.04</v>
      </c>
      <c r="F332" s="12">
        <v>697758.04</v>
      </c>
      <c r="G332" s="10">
        <f t="shared" si="40"/>
        <v>-694627</v>
      </c>
      <c r="H332" s="19">
        <v>0</v>
      </c>
      <c r="I332" s="10">
        <v>0</v>
      </c>
      <c r="J332" s="10">
        <v>1395</v>
      </c>
      <c r="K332" s="10">
        <v>0</v>
      </c>
      <c r="L332" s="10">
        <f>I332+J332-K332</f>
        <v>1395</v>
      </c>
      <c r="M332" s="22">
        <f>F332/C332</f>
        <v>0.026385959344800786</v>
      </c>
    </row>
    <row r="333" spans="1:13" ht="13.5">
      <c r="A333" s="25"/>
      <c r="B333" s="11" t="s">
        <v>44</v>
      </c>
      <c r="C333" s="12">
        <v>26444293</v>
      </c>
      <c r="D333" s="12">
        <v>0</v>
      </c>
      <c r="E333" s="10">
        <v>3242.07</v>
      </c>
      <c r="F333" s="12">
        <v>0</v>
      </c>
      <c r="G333" s="10">
        <f t="shared" si="40"/>
        <v>3242.07</v>
      </c>
      <c r="H333" s="19">
        <v>0</v>
      </c>
      <c r="I333" s="10">
        <v>70193.82</v>
      </c>
      <c r="J333" s="10">
        <f>4240</f>
        <v>4240</v>
      </c>
      <c r="K333" s="10">
        <f>-42.69</f>
        <v>-42.69</v>
      </c>
      <c r="L333" s="10">
        <f aca="true" t="shared" si="41" ref="L333:L348">I333+J333-K333</f>
        <v>74476.51000000001</v>
      </c>
      <c r="M333" s="22">
        <f>F333/C333</f>
        <v>0</v>
      </c>
    </row>
    <row r="334" spans="1:13" ht="13.5">
      <c r="A334" s="25"/>
      <c r="B334" s="11" t="s">
        <v>45</v>
      </c>
      <c r="C334" s="12">
        <v>12591512</v>
      </c>
      <c r="D334" s="12">
        <v>0</v>
      </c>
      <c r="E334" s="10">
        <v>0</v>
      </c>
      <c r="F334" s="12">
        <v>2867903.3</v>
      </c>
      <c r="G334" s="10">
        <f t="shared" si="40"/>
        <v>-2867903.3</v>
      </c>
      <c r="H334" s="19">
        <v>0</v>
      </c>
      <c r="I334" s="10">
        <v>0</v>
      </c>
      <c r="J334" s="10">
        <v>0</v>
      </c>
      <c r="K334" s="10">
        <v>0.28</v>
      </c>
      <c r="L334" s="10">
        <f t="shared" si="41"/>
        <v>-0.28</v>
      </c>
      <c r="M334" s="22">
        <f aca="true" t="shared" si="42" ref="M334:M342">F334/C334</f>
        <v>0.22776480695884654</v>
      </c>
    </row>
    <row r="335" spans="1:13" ht="13.5">
      <c r="A335" s="25"/>
      <c r="B335" s="11" t="s">
        <v>46</v>
      </c>
      <c r="C335" s="12">
        <v>25407614.43</v>
      </c>
      <c r="D335" s="12">
        <v>0</v>
      </c>
      <c r="E335" s="10">
        <v>293.05</v>
      </c>
      <c r="F335" s="12">
        <v>0</v>
      </c>
      <c r="G335" s="10">
        <f t="shared" si="40"/>
        <v>293.05</v>
      </c>
      <c r="H335" s="19">
        <f t="shared" si="37"/>
        <v>0</v>
      </c>
      <c r="I335" s="10">
        <v>0</v>
      </c>
      <c r="J335" s="10">
        <v>0</v>
      </c>
      <c r="K335" s="10">
        <v>0</v>
      </c>
      <c r="L335" s="10">
        <f t="shared" si="41"/>
        <v>0</v>
      </c>
      <c r="M335" s="22">
        <f t="shared" si="42"/>
        <v>0</v>
      </c>
    </row>
    <row r="336" spans="1:13" ht="13.5">
      <c r="A336" s="25"/>
      <c r="B336" s="11" t="s">
        <v>47</v>
      </c>
      <c r="C336" s="12">
        <v>1057470</v>
      </c>
      <c r="D336" s="12">
        <v>0</v>
      </c>
      <c r="E336" s="10">
        <v>214.44</v>
      </c>
      <c r="F336" s="12">
        <v>96236.08</v>
      </c>
      <c r="G336" s="10">
        <f t="shared" si="40"/>
        <v>-96021.64</v>
      </c>
      <c r="H336" s="19">
        <v>0</v>
      </c>
      <c r="I336" s="10">
        <v>1267.31</v>
      </c>
      <c r="J336" s="10">
        <v>0</v>
      </c>
      <c r="K336" s="10">
        <v>0</v>
      </c>
      <c r="L336" s="10">
        <f t="shared" si="41"/>
        <v>1267.31</v>
      </c>
      <c r="M336" s="22">
        <f t="shared" si="42"/>
        <v>0.09100596707235194</v>
      </c>
    </row>
    <row r="337" spans="1:13" ht="13.5">
      <c r="A337" s="25"/>
      <c r="B337" s="11" t="s">
        <v>48</v>
      </c>
      <c r="C337" s="12">
        <v>12329603</v>
      </c>
      <c r="D337" s="12">
        <v>0</v>
      </c>
      <c r="E337" s="10">
        <v>0</v>
      </c>
      <c r="F337" s="12">
        <v>4759232.86</v>
      </c>
      <c r="G337" s="10">
        <f t="shared" si="40"/>
        <v>-4759232.86</v>
      </c>
      <c r="H337" s="19">
        <v>0</v>
      </c>
      <c r="I337" s="10">
        <v>52165.21</v>
      </c>
      <c r="J337" s="10">
        <v>0</v>
      </c>
      <c r="K337" s="10">
        <v>43500</v>
      </c>
      <c r="L337" s="10">
        <f t="shared" si="41"/>
        <v>8665.21</v>
      </c>
      <c r="M337" s="22">
        <f t="shared" si="42"/>
        <v>0.38600049490644595</v>
      </c>
    </row>
    <row r="338" spans="1:13" ht="13.5">
      <c r="A338" s="25"/>
      <c r="B338" s="11" t="s">
        <v>49</v>
      </c>
      <c r="C338" s="12">
        <v>1167126</v>
      </c>
      <c r="D338" s="12">
        <v>0</v>
      </c>
      <c r="E338" s="10">
        <v>135.71</v>
      </c>
      <c r="F338" s="12">
        <v>307056.51</v>
      </c>
      <c r="G338" s="10">
        <f t="shared" si="40"/>
        <v>-306920.8</v>
      </c>
      <c r="H338" s="19">
        <v>0</v>
      </c>
      <c r="I338" s="10">
        <v>0</v>
      </c>
      <c r="J338" s="10">
        <v>0</v>
      </c>
      <c r="K338" s="10">
        <v>0</v>
      </c>
      <c r="L338" s="10">
        <f t="shared" si="41"/>
        <v>0</v>
      </c>
      <c r="M338" s="22">
        <f t="shared" si="42"/>
        <v>0.26308771289475175</v>
      </c>
    </row>
    <row r="339" spans="1:13" ht="13.5">
      <c r="A339" s="25"/>
      <c r="B339" s="11" t="s">
        <v>50</v>
      </c>
      <c r="C339" s="12">
        <v>161698</v>
      </c>
      <c r="D339" s="12">
        <v>0</v>
      </c>
      <c r="E339" s="10">
        <v>71.35</v>
      </c>
      <c r="F339" s="12">
        <v>47976.46</v>
      </c>
      <c r="G339" s="10">
        <f t="shared" si="40"/>
        <v>-47905.11</v>
      </c>
      <c r="H339" s="19">
        <v>0</v>
      </c>
      <c r="I339" s="10">
        <v>0</v>
      </c>
      <c r="J339" s="10">
        <v>0</v>
      </c>
      <c r="K339" s="10">
        <v>0</v>
      </c>
      <c r="L339" s="10">
        <f t="shared" si="41"/>
        <v>0</v>
      </c>
      <c r="M339" s="22">
        <f t="shared" si="42"/>
        <v>0.2967041027099902</v>
      </c>
    </row>
    <row r="340" spans="1:13" ht="13.5">
      <c r="A340" s="25"/>
      <c r="B340" s="11" t="s">
        <v>51</v>
      </c>
      <c r="C340" s="12">
        <v>44192</v>
      </c>
      <c r="D340" s="12">
        <v>0</v>
      </c>
      <c r="E340" s="10">
        <v>20.04</v>
      </c>
      <c r="F340" s="12">
        <v>17934</v>
      </c>
      <c r="G340" s="10">
        <f t="shared" si="40"/>
        <v>-17913.96</v>
      </c>
      <c r="H340" s="19">
        <v>0</v>
      </c>
      <c r="I340" s="10">
        <v>2761.45</v>
      </c>
      <c r="J340" s="10">
        <v>0</v>
      </c>
      <c r="K340" s="14">
        <v>0</v>
      </c>
      <c r="L340" s="10">
        <f>I340+J340-K346</f>
        <v>-136941.4</v>
      </c>
      <c r="M340" s="22">
        <f t="shared" si="42"/>
        <v>0.4058200579290369</v>
      </c>
    </row>
    <row r="341" spans="1:13" ht="13.5">
      <c r="A341" s="25"/>
      <c r="B341" s="11" t="s">
        <v>52</v>
      </c>
      <c r="C341" s="12">
        <v>439401</v>
      </c>
      <c r="D341" s="12">
        <v>0</v>
      </c>
      <c r="E341" s="10">
        <v>115.5</v>
      </c>
      <c r="F341" s="12">
        <v>0</v>
      </c>
      <c r="G341" s="10">
        <f t="shared" si="40"/>
        <v>115.5</v>
      </c>
      <c r="H341" s="19">
        <f t="shared" si="37"/>
        <v>0</v>
      </c>
      <c r="I341" s="10">
        <v>30524.17</v>
      </c>
      <c r="J341" s="10">
        <v>0</v>
      </c>
      <c r="K341" s="10">
        <v>0</v>
      </c>
      <c r="L341" s="10">
        <f t="shared" si="41"/>
        <v>30524.17</v>
      </c>
      <c r="M341" s="22">
        <f t="shared" si="42"/>
        <v>0</v>
      </c>
    </row>
    <row r="342" spans="1:13" ht="13.5">
      <c r="A342" s="25"/>
      <c r="B342" s="11" t="s">
        <v>53</v>
      </c>
      <c r="C342" s="12">
        <v>102492.78</v>
      </c>
      <c r="D342" s="12">
        <v>0</v>
      </c>
      <c r="E342" s="10">
        <v>0</v>
      </c>
      <c r="F342" s="12">
        <v>125386.68</v>
      </c>
      <c r="G342" s="10">
        <f t="shared" si="40"/>
        <v>-125386.68</v>
      </c>
      <c r="H342" s="19">
        <v>0</v>
      </c>
      <c r="I342" s="10">
        <v>21446.74</v>
      </c>
      <c r="J342" s="10">
        <v>8843.68</v>
      </c>
      <c r="K342" s="10">
        <v>0</v>
      </c>
      <c r="L342" s="10">
        <f t="shared" si="41"/>
        <v>30290.420000000002</v>
      </c>
      <c r="M342" s="22">
        <f t="shared" si="42"/>
        <v>1.2233708559763916</v>
      </c>
    </row>
    <row r="343" spans="1:13" ht="13.5">
      <c r="A343" s="25"/>
      <c r="B343" s="11" t="s">
        <v>55</v>
      </c>
      <c r="C343" s="12">
        <v>0</v>
      </c>
      <c r="D343" s="12">
        <v>0</v>
      </c>
      <c r="E343" s="10">
        <v>720.39</v>
      </c>
      <c r="F343" s="12">
        <v>1129327.8</v>
      </c>
      <c r="G343" s="10">
        <f t="shared" si="40"/>
        <v>-1128607.4100000001</v>
      </c>
      <c r="H343" s="19">
        <v>0</v>
      </c>
      <c r="I343" s="10">
        <v>0</v>
      </c>
      <c r="J343" s="10">
        <v>0</v>
      </c>
      <c r="K343" s="10">
        <v>0</v>
      </c>
      <c r="L343" s="10">
        <f t="shared" si="41"/>
        <v>0</v>
      </c>
      <c r="M343" s="22">
        <v>0</v>
      </c>
    </row>
    <row r="344" spans="1:13" ht="13.5">
      <c r="A344" s="25"/>
      <c r="B344" s="11" t="s">
        <v>58</v>
      </c>
      <c r="C344" s="12">
        <v>0</v>
      </c>
      <c r="D344" s="12">
        <v>0</v>
      </c>
      <c r="E344" s="10">
        <v>0</v>
      </c>
      <c r="F344" s="12">
        <v>59247.36</v>
      </c>
      <c r="G344" s="10">
        <f t="shared" si="40"/>
        <v>-59247.36</v>
      </c>
      <c r="H344" s="19">
        <v>0</v>
      </c>
      <c r="I344" s="10">
        <v>97422.5</v>
      </c>
      <c r="J344" s="10">
        <v>0</v>
      </c>
      <c r="K344" s="10">
        <v>0</v>
      </c>
      <c r="L344" s="10">
        <f t="shared" si="41"/>
        <v>97422.5</v>
      </c>
      <c r="M344" s="22">
        <v>0</v>
      </c>
    </row>
    <row r="345" spans="1:13" ht="13.5">
      <c r="A345" s="25"/>
      <c r="B345" s="11" t="s">
        <v>41</v>
      </c>
      <c r="C345" s="12">
        <v>0</v>
      </c>
      <c r="D345" s="12">
        <v>0</v>
      </c>
      <c r="E345" s="10">
        <v>16.51</v>
      </c>
      <c r="F345" s="12">
        <v>35532.66</v>
      </c>
      <c r="G345" s="10">
        <f t="shared" si="40"/>
        <v>-35516.15</v>
      </c>
      <c r="H345" s="19">
        <v>0</v>
      </c>
      <c r="I345" s="10">
        <v>9.62</v>
      </c>
      <c r="J345" s="10">
        <v>0</v>
      </c>
      <c r="K345" s="10">
        <v>0</v>
      </c>
      <c r="L345" s="10">
        <f t="shared" si="41"/>
        <v>9.62</v>
      </c>
      <c r="M345" s="22">
        <v>0</v>
      </c>
    </row>
    <row r="346" spans="1:13" ht="13.5">
      <c r="A346" s="25"/>
      <c r="B346" s="11" t="s">
        <v>84</v>
      </c>
      <c r="C346" s="12">
        <v>0</v>
      </c>
      <c r="D346" s="12">
        <v>0</v>
      </c>
      <c r="E346" s="10">
        <v>0</v>
      </c>
      <c r="F346" s="12">
        <v>0</v>
      </c>
      <c r="G346" s="10">
        <v>0</v>
      </c>
      <c r="H346" s="19">
        <v>0</v>
      </c>
      <c r="I346" s="10">
        <v>0</v>
      </c>
      <c r="J346" s="10">
        <v>0</v>
      </c>
      <c r="K346" s="10">
        <v>139702.85</v>
      </c>
      <c r="L346" s="10">
        <f t="shared" si="41"/>
        <v>-139702.85</v>
      </c>
      <c r="M346" s="22">
        <v>0</v>
      </c>
    </row>
    <row r="347" spans="1:13" ht="13.5">
      <c r="A347" s="25"/>
      <c r="B347" s="11" t="s">
        <v>56</v>
      </c>
      <c r="C347" s="12">
        <v>0</v>
      </c>
      <c r="D347" s="12">
        <v>0</v>
      </c>
      <c r="E347" s="10">
        <f>73.6+33.68</f>
        <v>107.28</v>
      </c>
      <c r="F347" s="12">
        <v>0</v>
      </c>
      <c r="G347" s="10">
        <f t="shared" si="40"/>
        <v>107.28</v>
      </c>
      <c r="H347" s="19">
        <f t="shared" si="37"/>
        <v>0</v>
      </c>
      <c r="I347" s="10">
        <f>113341.83+115.58+51855.1</f>
        <v>165312.51</v>
      </c>
      <c r="J347" s="10">
        <v>0</v>
      </c>
      <c r="K347" s="10">
        <v>0</v>
      </c>
      <c r="L347" s="10">
        <f t="shared" si="41"/>
        <v>165312.51</v>
      </c>
      <c r="M347" s="22">
        <v>0</v>
      </c>
    </row>
    <row r="348" spans="1:13" ht="13.5">
      <c r="A348" s="25"/>
      <c r="B348" s="11" t="s">
        <v>43</v>
      </c>
      <c r="C348" s="12">
        <v>0</v>
      </c>
      <c r="D348" s="12">
        <v>0</v>
      </c>
      <c r="E348" s="10">
        <f>5.03+159.55+37.69+59.92+62.45+89.41</f>
        <v>414.04999999999995</v>
      </c>
      <c r="F348" s="12">
        <v>0</v>
      </c>
      <c r="G348" s="10">
        <f t="shared" si="40"/>
        <v>414.04999999999995</v>
      </c>
      <c r="H348" s="19">
        <f t="shared" si="37"/>
        <v>0</v>
      </c>
      <c r="I348" s="10">
        <f>9090.22+245710.07+58042.19+6684.49+92271.87+1094.61+96163.66</f>
        <v>509057.11</v>
      </c>
      <c r="J348" s="10">
        <f>2088+2088</f>
        <v>4176</v>
      </c>
      <c r="K348" s="10">
        <f>148258.24</f>
        <v>148258.24</v>
      </c>
      <c r="L348" s="10">
        <f t="shared" si="41"/>
        <v>364974.87</v>
      </c>
      <c r="M348" s="22">
        <v>0</v>
      </c>
    </row>
    <row r="349" spans="1:13" ht="13.5">
      <c r="A349" s="25"/>
      <c r="B349" s="13" t="s">
        <v>7</v>
      </c>
      <c r="C349" s="9">
        <f>C309+C316+C331</f>
        <v>104346832.94</v>
      </c>
      <c r="D349" s="9">
        <f>D309+D316+D331</f>
        <v>57556822.27</v>
      </c>
      <c r="E349" s="9">
        <f>E309+E316+E331</f>
        <v>8570.95</v>
      </c>
      <c r="F349" s="9">
        <f>F309+F316+F331</f>
        <v>47636317.22</v>
      </c>
      <c r="G349" s="9">
        <f>D349+E349-F349</f>
        <v>9929076.000000007</v>
      </c>
      <c r="H349" s="20"/>
      <c r="I349" s="9">
        <f>I331+I316+I309</f>
        <v>21612877.750000004</v>
      </c>
      <c r="J349" s="9">
        <f>J331+J316+J309</f>
        <v>468188.69</v>
      </c>
      <c r="K349" s="9">
        <f>K331+K316+K309</f>
        <v>562017.66</v>
      </c>
      <c r="L349" s="9">
        <f>L331+L316+L309</f>
        <v>21195334.779999997</v>
      </c>
      <c r="M349" s="23"/>
    </row>
    <row r="350" spans="1:13" ht="6.75" customHeight="1">
      <c r="A350" s="25"/>
      <c r="B350" s="51"/>
      <c r="C350" s="52"/>
      <c r="D350" s="52"/>
      <c r="E350" s="52"/>
      <c r="F350" s="52"/>
      <c r="G350" s="52"/>
      <c r="H350" s="53"/>
      <c r="I350" s="52"/>
      <c r="J350" s="52"/>
      <c r="K350" s="52"/>
      <c r="L350" s="52"/>
      <c r="M350" s="54"/>
    </row>
    <row r="351" spans="1:13" ht="12.75">
      <c r="A351" s="25"/>
      <c r="B351" s="25"/>
      <c r="C351" s="26"/>
      <c r="D351" s="98" t="s">
        <v>11</v>
      </c>
      <c r="E351" s="98"/>
      <c r="F351" s="98"/>
      <c r="G351" s="98"/>
      <c r="H351" s="98"/>
      <c r="I351" s="98"/>
      <c r="J351" s="98"/>
      <c r="K351" s="26"/>
      <c r="L351" s="26"/>
      <c r="M351" s="47"/>
    </row>
    <row r="352" spans="1:13" ht="13.5">
      <c r="A352" s="25"/>
      <c r="B352" s="25"/>
      <c r="C352" s="99" t="s">
        <v>3</v>
      </c>
      <c r="D352" s="99"/>
      <c r="E352" s="100" t="s">
        <v>4</v>
      </c>
      <c r="F352" s="101"/>
      <c r="G352" s="101"/>
      <c r="H352" s="102"/>
      <c r="I352" s="86" t="s">
        <v>54</v>
      </c>
      <c r="J352" s="87" t="s">
        <v>0</v>
      </c>
      <c r="K352" s="25"/>
      <c r="L352" s="29"/>
      <c r="M352" s="30"/>
    </row>
    <row r="353" spans="1:13" ht="13.5">
      <c r="A353" s="25"/>
      <c r="B353" s="25"/>
      <c r="C353" s="103" t="s">
        <v>31</v>
      </c>
      <c r="D353" s="103"/>
      <c r="E353" s="92">
        <v>5971553.53</v>
      </c>
      <c r="F353" s="93"/>
      <c r="G353" s="93"/>
      <c r="H353" s="94"/>
      <c r="I353" s="45">
        <v>2695692.58</v>
      </c>
      <c r="J353" s="21">
        <v>0.45</v>
      </c>
      <c r="K353" s="25"/>
      <c r="L353" s="29"/>
      <c r="M353" s="30"/>
    </row>
    <row r="354" spans="1:13" ht="13.5">
      <c r="A354" s="25"/>
      <c r="B354" s="25"/>
      <c r="C354" s="91" t="s">
        <v>32</v>
      </c>
      <c r="D354" s="91"/>
      <c r="E354" s="92">
        <v>5700248.07</v>
      </c>
      <c r="F354" s="93"/>
      <c r="G354" s="93"/>
      <c r="H354" s="94"/>
      <c r="I354" s="45">
        <v>889791.05</v>
      </c>
      <c r="J354" s="21">
        <v>0.15</v>
      </c>
      <c r="K354" s="26"/>
      <c r="L354" s="29"/>
      <c r="M354" s="30"/>
    </row>
    <row r="355" spans="1:13" ht="8.25" customHeight="1">
      <c r="A355" s="25"/>
      <c r="B355" s="25"/>
      <c r="C355" s="48"/>
      <c r="D355" s="48"/>
      <c r="E355" s="49"/>
      <c r="F355" s="49"/>
      <c r="G355" s="49"/>
      <c r="H355" s="49"/>
      <c r="I355" s="49"/>
      <c r="J355" s="50"/>
      <c r="K355" s="26"/>
      <c r="L355" s="29"/>
      <c r="M355" s="30"/>
    </row>
    <row r="356" spans="1:13" ht="16.5">
      <c r="A356" s="25"/>
      <c r="B356" s="32"/>
      <c r="C356" s="95" t="s">
        <v>5</v>
      </c>
      <c r="D356" s="95"/>
      <c r="E356" s="33"/>
      <c r="F356" s="34"/>
      <c r="G356" s="34"/>
      <c r="H356" s="34" t="s">
        <v>28</v>
      </c>
      <c r="I356" s="35"/>
      <c r="J356" s="96" t="s">
        <v>29</v>
      </c>
      <c r="K356" s="96"/>
      <c r="L356" s="96"/>
      <c r="M356" s="36"/>
    </row>
    <row r="357" spans="1:13" ht="9.75" customHeight="1">
      <c r="A357" s="25"/>
      <c r="B357" s="32"/>
      <c r="C357" s="37"/>
      <c r="D357" s="65"/>
      <c r="E357" s="33"/>
      <c r="F357" s="34"/>
      <c r="G357" s="34"/>
      <c r="H357" s="38"/>
      <c r="I357" s="35"/>
      <c r="J357" s="39"/>
      <c r="K357" s="39"/>
      <c r="L357" s="40"/>
      <c r="M357" s="36"/>
    </row>
    <row r="358" spans="1:13" ht="11.25" customHeight="1">
      <c r="A358" s="25"/>
      <c r="B358" s="41"/>
      <c r="C358" s="95" t="s">
        <v>30</v>
      </c>
      <c r="D358" s="95"/>
      <c r="E358" s="33"/>
      <c r="F358" s="34"/>
      <c r="G358" s="34"/>
      <c r="H358" s="34" t="s">
        <v>38</v>
      </c>
      <c r="I358" s="35"/>
      <c r="J358" s="96" t="s">
        <v>39</v>
      </c>
      <c r="K358" s="96"/>
      <c r="L358" s="96"/>
      <c r="M358" s="18"/>
    </row>
    <row r="359" spans="1:13" ht="16.5">
      <c r="A359" s="25"/>
      <c r="B359" s="41"/>
      <c r="C359" s="88" t="s">
        <v>40</v>
      </c>
      <c r="D359" s="89"/>
      <c r="E359" s="33"/>
      <c r="F359" s="42"/>
      <c r="G359" s="42"/>
      <c r="H359" s="42" t="s">
        <v>36</v>
      </c>
      <c r="I359" s="35"/>
      <c r="J359" s="90" t="s">
        <v>37</v>
      </c>
      <c r="K359" s="90"/>
      <c r="L359" s="90"/>
      <c r="M359" s="24"/>
    </row>
    <row r="360" spans="1:13" ht="15.75">
      <c r="A360" s="25"/>
      <c r="B360" s="46" t="s">
        <v>34</v>
      </c>
      <c r="C360" s="43"/>
      <c r="D360" s="43"/>
      <c r="E360" s="43"/>
      <c r="F360" s="44"/>
      <c r="G360" s="44"/>
      <c r="H360" s="27"/>
      <c r="I360" s="43"/>
      <c r="J360" s="44"/>
      <c r="K360" s="43"/>
      <c r="L360" s="43"/>
      <c r="M360" s="24"/>
    </row>
  </sheetData>
  <sheetProtection/>
  <mergeCells count="180">
    <mergeCell ref="C297:D297"/>
    <mergeCell ref="J297:L297"/>
    <mergeCell ref="H179:J179"/>
    <mergeCell ref="C292:D292"/>
    <mergeCell ref="E292:H292"/>
    <mergeCell ref="C294:D294"/>
    <mergeCell ref="J294:L294"/>
    <mergeCell ref="C296:D296"/>
    <mergeCell ref="J296:L296"/>
    <mergeCell ref="K247:K248"/>
    <mergeCell ref="L247:L248"/>
    <mergeCell ref="D289:J289"/>
    <mergeCell ref="C290:D290"/>
    <mergeCell ref="E290:H290"/>
    <mergeCell ref="C291:D291"/>
    <mergeCell ref="E291:H291"/>
    <mergeCell ref="D246:H246"/>
    <mergeCell ref="I246:L246"/>
    <mergeCell ref="B247:B248"/>
    <mergeCell ref="C247:C248"/>
    <mergeCell ref="D247:D248"/>
    <mergeCell ref="E247:E248"/>
    <mergeCell ref="F247:F248"/>
    <mergeCell ref="H247:H248"/>
    <mergeCell ref="I247:I248"/>
    <mergeCell ref="J247:J248"/>
    <mergeCell ref="D239:E239"/>
    <mergeCell ref="G239:I239"/>
    <mergeCell ref="B240:M240"/>
    <mergeCell ref="B242:M242"/>
    <mergeCell ref="B243:M243"/>
    <mergeCell ref="B244:M244"/>
    <mergeCell ref="C236:D236"/>
    <mergeCell ref="J236:L236"/>
    <mergeCell ref="C237:D237"/>
    <mergeCell ref="J237:L237"/>
    <mergeCell ref="D179:F179"/>
    <mergeCell ref="C231:D231"/>
    <mergeCell ref="E231:H231"/>
    <mergeCell ref="C232:D232"/>
    <mergeCell ref="E232:H232"/>
    <mergeCell ref="C234:D234"/>
    <mergeCell ref="J234:L234"/>
    <mergeCell ref="I187:I188"/>
    <mergeCell ref="J187:J188"/>
    <mergeCell ref="K187:K188"/>
    <mergeCell ref="L187:L188"/>
    <mergeCell ref="D229:J229"/>
    <mergeCell ref="C230:D230"/>
    <mergeCell ref="E230:H230"/>
    <mergeCell ref="B183:M183"/>
    <mergeCell ref="B184:M184"/>
    <mergeCell ref="D186:H186"/>
    <mergeCell ref="I186:L186"/>
    <mergeCell ref="B187:B188"/>
    <mergeCell ref="C187:C188"/>
    <mergeCell ref="D187:D188"/>
    <mergeCell ref="E187:E188"/>
    <mergeCell ref="F187:F188"/>
    <mergeCell ref="H187:H188"/>
    <mergeCell ref="C176:D176"/>
    <mergeCell ref="J176:L176"/>
    <mergeCell ref="C177:D177"/>
    <mergeCell ref="J177:L177"/>
    <mergeCell ref="B180:M180"/>
    <mergeCell ref="B182:M182"/>
    <mergeCell ref="C171:D171"/>
    <mergeCell ref="E171:H171"/>
    <mergeCell ref="C172:D172"/>
    <mergeCell ref="E172:H172"/>
    <mergeCell ref="C174:D174"/>
    <mergeCell ref="J174:L174"/>
    <mergeCell ref="I127:I128"/>
    <mergeCell ref="J127:J128"/>
    <mergeCell ref="K127:K128"/>
    <mergeCell ref="L127:L128"/>
    <mergeCell ref="D169:J169"/>
    <mergeCell ref="C170:D170"/>
    <mergeCell ref="E170:H170"/>
    <mergeCell ref="B127:B128"/>
    <mergeCell ref="C127:C128"/>
    <mergeCell ref="D127:D128"/>
    <mergeCell ref="E127:E128"/>
    <mergeCell ref="F127:F128"/>
    <mergeCell ref="H127:H128"/>
    <mergeCell ref="B120:M120"/>
    <mergeCell ref="B122:M122"/>
    <mergeCell ref="B123:M123"/>
    <mergeCell ref="B124:M124"/>
    <mergeCell ref="D126:H126"/>
    <mergeCell ref="I126:L126"/>
    <mergeCell ref="I68:I69"/>
    <mergeCell ref="J68:J69"/>
    <mergeCell ref="K68:K69"/>
    <mergeCell ref="L68:L69"/>
    <mergeCell ref="B68:B69"/>
    <mergeCell ref="C68:C69"/>
    <mergeCell ref="D68:D69"/>
    <mergeCell ref="E68:E69"/>
    <mergeCell ref="F68:F69"/>
    <mergeCell ref="H68:H69"/>
    <mergeCell ref="B61:M61"/>
    <mergeCell ref="B63:M63"/>
    <mergeCell ref="B64:M64"/>
    <mergeCell ref="B65:M65"/>
    <mergeCell ref="D67:H67"/>
    <mergeCell ref="I67:L67"/>
    <mergeCell ref="D110:J110"/>
    <mergeCell ref="C111:D111"/>
    <mergeCell ref="E111:H111"/>
    <mergeCell ref="C112:D112"/>
    <mergeCell ref="E112:H112"/>
    <mergeCell ref="C113:D113"/>
    <mergeCell ref="E113:H113"/>
    <mergeCell ref="C115:D115"/>
    <mergeCell ref="J115:L115"/>
    <mergeCell ref="C117:D117"/>
    <mergeCell ref="J117:L117"/>
    <mergeCell ref="C118:D118"/>
    <mergeCell ref="J118:L118"/>
    <mergeCell ref="B1:M1"/>
    <mergeCell ref="B3:M3"/>
    <mergeCell ref="B4:M4"/>
    <mergeCell ref="B5:M5"/>
    <mergeCell ref="D7:H7"/>
    <mergeCell ref="I7:L7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D51:J51"/>
    <mergeCell ref="C52:D52"/>
    <mergeCell ref="E52:H52"/>
    <mergeCell ref="C58:D58"/>
    <mergeCell ref="J58:L58"/>
    <mergeCell ref="C59:D59"/>
    <mergeCell ref="J59:L59"/>
    <mergeCell ref="C53:D53"/>
    <mergeCell ref="E53:H53"/>
    <mergeCell ref="C54:D54"/>
    <mergeCell ref="E54:H54"/>
    <mergeCell ref="C56:D56"/>
    <mergeCell ref="J56:L56"/>
    <mergeCell ref="D299:E299"/>
    <mergeCell ref="G299:I299"/>
    <mergeCell ref="B300:M300"/>
    <mergeCell ref="B302:M302"/>
    <mergeCell ref="B303:M303"/>
    <mergeCell ref="B304:M304"/>
    <mergeCell ref="D306:H306"/>
    <mergeCell ref="I306:L306"/>
    <mergeCell ref="B307:B308"/>
    <mergeCell ref="C307:C308"/>
    <mergeCell ref="D307:D308"/>
    <mergeCell ref="E307:E308"/>
    <mergeCell ref="F307:F308"/>
    <mergeCell ref="H307:H308"/>
    <mergeCell ref="I307:I308"/>
    <mergeCell ref="J307:J308"/>
    <mergeCell ref="K307:K308"/>
    <mergeCell ref="L307:L308"/>
    <mergeCell ref="D351:J351"/>
    <mergeCell ref="C352:D352"/>
    <mergeCell ref="E352:H352"/>
    <mergeCell ref="C353:D353"/>
    <mergeCell ref="E353:H353"/>
    <mergeCell ref="C359:D359"/>
    <mergeCell ref="J359:L359"/>
    <mergeCell ref="C354:D354"/>
    <mergeCell ref="E354:H354"/>
    <mergeCell ref="C356:D356"/>
    <mergeCell ref="J356:L356"/>
    <mergeCell ref="C358:D358"/>
    <mergeCell ref="J358:L358"/>
  </mergeCells>
  <printOptions/>
  <pageMargins left="0.4330708661417323" right="0.4330708661417323" top="0.1968503937007874" bottom="0.2362204724409449" header="0" footer="0"/>
  <pageSetup fitToHeight="2" horizontalDpi="600" verticalDpi="600" orientation="landscape" scale="69" r:id="rId2"/>
  <headerFooter alignWithMargins="0">
    <oddFooter>&amp;R</oddFooter>
  </headerFooter>
  <rowBreaks count="1" manualBreakCount="1">
    <brk id="6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2022-07-11T20:54:50Z</cp:lastPrinted>
  <dcterms:created xsi:type="dcterms:W3CDTF">2003-11-28T15:16:07Z</dcterms:created>
  <dcterms:modified xsi:type="dcterms:W3CDTF">2022-07-11T20:57:34Z</dcterms:modified>
  <cp:category/>
  <cp:version/>
  <cp:contentType/>
  <cp:contentStatus/>
</cp:coreProperties>
</file>