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'FR-01'!$A$1:$M$328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194" authorId="0">
      <text>
        <r>
          <rPr>
            <b/>
            <sz val="9"/>
            <rFont val="Tahoma"/>
            <family val="2"/>
          </rPr>
          <t xml:space="preserve">PENDIENTE: TRASPASO DE FGP A ISR EBI
</t>
        </r>
        <r>
          <rPr>
            <sz val="9"/>
            <rFont val="Tahoma"/>
            <family val="2"/>
          </rPr>
          <t xml:space="preserve">
</t>
        </r>
      </text>
    </comment>
    <comment ref="K184" authorId="0">
      <text>
        <r>
          <rPr>
            <b/>
            <sz val="9"/>
            <rFont val="Tahoma"/>
            <family val="2"/>
          </rPr>
          <t>PENDIENTE: TRASPASO DE FGP A FOFIR</t>
        </r>
        <r>
          <rPr>
            <sz val="9"/>
            <rFont val="Tahoma"/>
            <family val="2"/>
          </rPr>
          <t xml:space="preserve">
</t>
        </r>
      </text>
    </comment>
    <comment ref="K185" authorId="0">
      <text>
        <r>
          <rPr>
            <b/>
            <sz val="9"/>
            <rFont val="Tahoma"/>
            <family val="2"/>
          </rPr>
          <t xml:space="preserve">PENDIENTE: TRASPASO DE FGP A FFM 
</t>
        </r>
        <r>
          <rPr>
            <sz val="9"/>
            <rFont val="Tahoma"/>
            <family val="2"/>
          </rPr>
          <t xml:space="preserve">
</t>
        </r>
      </text>
    </comment>
    <comment ref="J190" authorId="0">
      <text>
        <r>
          <rPr>
            <b/>
            <sz val="9"/>
            <rFont val="Tahoma"/>
            <family val="2"/>
          </rPr>
          <t>PENDIENTE QUE SE TRASPASO PENDIENTE: 
1.- FGP $158,254.55
2.- FFM $ 29,857.24
3.- FOFIR $19,057.82</t>
        </r>
        <r>
          <rPr>
            <sz val="9"/>
            <rFont val="Tahoma"/>
            <family val="2"/>
          </rPr>
          <t xml:space="preserve">
</t>
        </r>
      </text>
    </comment>
    <comment ref="K181" authorId="0">
      <text>
        <r>
          <rPr>
            <b/>
            <sz val="9"/>
            <rFont val="Tahoma"/>
            <family val="2"/>
          </rPr>
          <t xml:space="preserve">PENDIENTE: TRASPASO DE FGP A
2.- $205,000.00 PRESTAMO DE REPO RECUPERAR 
</t>
        </r>
        <r>
          <rPr>
            <sz val="9"/>
            <rFont val="Tahoma"/>
            <family val="2"/>
          </rPr>
          <t xml:space="preserve">
</t>
        </r>
      </text>
    </comment>
    <comment ref="K186" authorId="0">
      <text>
        <r>
          <rPr>
            <b/>
            <sz val="9"/>
            <rFont val="Tahoma"/>
            <family val="2"/>
          </rPr>
          <t xml:space="preserve">TRASPASO PENDIENTE I.S.R. 
</t>
        </r>
        <r>
          <rPr>
            <sz val="9"/>
            <rFont val="Tahoma"/>
            <family val="2"/>
          </rPr>
          <t xml:space="preserve">
</t>
        </r>
      </text>
    </comment>
    <comment ref="J174" authorId="0">
      <text>
        <r>
          <rPr>
            <b/>
            <sz val="9"/>
            <rFont val="Tahoma"/>
            <family val="2"/>
          </rPr>
          <t>$205,000.00 PRESTAMO A FGP PARA NOMINA</t>
        </r>
        <r>
          <rPr>
            <sz val="9"/>
            <rFont val="Tahoma"/>
            <family val="2"/>
          </rPr>
          <t xml:space="preserve">
</t>
        </r>
      </text>
    </comment>
    <comment ref="J182" authorId="0">
      <text>
        <r>
          <rPr>
            <b/>
            <sz val="9"/>
            <rFont val="Tahoma"/>
            <family val="2"/>
          </rPr>
          <t xml:space="preserve">ANTICIPO A CONTRATISTA: </t>
        </r>
        <r>
          <rPr>
            <sz val="9"/>
            <rFont val="Tahoma"/>
            <family val="2"/>
          </rPr>
          <t xml:space="preserve">
"RICARDO CANO GÓMEZ"</t>
        </r>
      </text>
    </comment>
    <comment ref="J245" authorId="0">
      <text>
        <r>
          <rPr>
            <b/>
            <sz val="9"/>
            <rFont val="Tahoma"/>
            <family val="2"/>
          </rPr>
          <t>PENDIENTE QUE SE TRASPASO PENDIENTE: 
1.- FGP $158,254.55
2.- FFM $ 29,857.24
3.- FOFIR $19,057.82</t>
        </r>
        <r>
          <rPr>
            <sz val="9"/>
            <rFont val="Tahoma"/>
            <family val="2"/>
          </rPr>
          <t xml:space="preserve">
</t>
        </r>
      </text>
    </comment>
    <comment ref="J300" authorId="0">
      <text>
        <r>
          <rPr>
            <b/>
            <sz val="9"/>
            <rFont val="Tahoma"/>
            <family val="2"/>
          </rPr>
          <t>PENDIENTE QUE SE TRASPASO PENDIENTE: 
1.- FGP $108372.04
2.- FFM $20,640.68
3.- FOFIR $8,843.68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<sst xmlns="http://schemas.openxmlformats.org/spreadsheetml/2006/main" count="428" uniqueCount="76">
  <si>
    <t>%</t>
  </si>
  <si>
    <t>CUENTAS DE RESULTADOS</t>
  </si>
  <si>
    <t>CUENTAS DE BALANCE</t>
  </si>
  <si>
    <t>CONCEPTO</t>
  </si>
  <si>
    <t>PRESUPUESTO</t>
  </si>
  <si>
    <t>ELABORÓ:</t>
  </si>
  <si>
    <t>CUADRO RESUMEN DE LA SITUACIÓN FINANCIERA</t>
  </si>
  <si>
    <t>TOTALES:</t>
  </si>
  <si>
    <t>FUENTE DE FINANCIAMIENTO</t>
  </si>
  <si>
    <t>AVANCE %</t>
  </si>
  <si>
    <t xml:space="preserve">FIN. </t>
  </si>
  <si>
    <t>I  R  R  E  D  U  C  T  I  B  L  E  S</t>
  </si>
  <si>
    <t>APROBADO / MODIFICADO ANUAL</t>
  </si>
  <si>
    <t>INGRESOS Y OTROS BENEFICIOS ACUMULADOS</t>
  </si>
  <si>
    <t>GASTOS Y OTRAS PÉRDIDAS ACUMULADOS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</si>
  <si>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</si>
  <si>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</si>
  <si>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Impuestos</t>
  </si>
  <si>
    <t>Derechos</t>
  </si>
  <si>
    <t>Aprovechamientos</t>
  </si>
  <si>
    <t>Productos</t>
  </si>
  <si>
    <t>Ingresos por Ventas</t>
  </si>
  <si>
    <t>SALDOS EN CAJA Y BANCOS
(A)</t>
  </si>
  <si>
    <t>° DEUDORAS DE ACTIVO
(B)</t>
  </si>
  <si>
    <t xml:space="preserve">° ACREEDORAS DE PASIVO
( C ) </t>
  </si>
  <si>
    <t>DIFERENCIA
A+B-C = D</t>
  </si>
  <si>
    <t>MUNICIPIO DE: FRANCISCO I. MADERO, HGO.</t>
  </si>
  <si>
    <t xml:space="preserve">OTROS  </t>
  </si>
  <si>
    <t xml:space="preserve"> REVISÓ Y AUTORIZÓ</t>
  </si>
  <si>
    <t>REVISÓ</t>
  </si>
  <si>
    <t>TESORERO MUNICIPAL</t>
  </si>
  <si>
    <t>C.F.E.</t>
  </si>
  <si>
    <t xml:space="preserve">LAUDOS LABORALES </t>
  </si>
  <si>
    <t xml:space="preserve">EJERCICIOS ANTERIORES </t>
  </si>
  <si>
    <t>Formato : FR-01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</si>
  <si>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</si>
  <si>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</si>
  <si>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</si>
  <si>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</si>
  <si>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</si>
  <si>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</si>
  <si>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EJERCICIO FISCAL: 2021</t>
  </si>
  <si>
    <t>FOFIS 2020</t>
  </si>
  <si>
    <t>REPO 2020</t>
  </si>
  <si>
    <t>FGP 2020</t>
  </si>
  <si>
    <t>FFM 2020</t>
  </si>
  <si>
    <t>IEPS TABACOS 2020</t>
  </si>
  <si>
    <t>IEPS GASOLINAS 2020</t>
  </si>
  <si>
    <t>ISAN 2020</t>
  </si>
  <si>
    <t>CISAN 2020</t>
  </si>
  <si>
    <t>FORTAMUN  2020</t>
  </si>
  <si>
    <t>Colaboracion Fiscal</t>
  </si>
  <si>
    <t>FAISM 2020</t>
  </si>
  <si>
    <t xml:space="preserve">OBRA PÚBLICA EJERCICOS ANTERIORES </t>
  </si>
  <si>
    <t>F.G.P 2021</t>
  </si>
  <si>
    <t>F.I.S.M. 2021</t>
  </si>
  <si>
    <t>FORTAMUN-DF 2021</t>
  </si>
  <si>
    <t>FOFIR 2021</t>
  </si>
  <si>
    <t>FFM 2021</t>
  </si>
  <si>
    <t>IEPS GASOLINAS 2021</t>
  </si>
  <si>
    <t>ISAN 2021</t>
  </si>
  <si>
    <t>COMPISAN 2021</t>
  </si>
  <si>
    <t>IEPS TABACOS 2021</t>
  </si>
  <si>
    <t>FEIEF 2021</t>
  </si>
  <si>
    <t xml:space="preserve">ACUMULADO </t>
  </si>
  <si>
    <t>I.S.R. 2021</t>
  </si>
  <si>
    <t xml:space="preserve">OBRA PÚBLICA (BENEFICIARIOS) EJERCICOS ANTERIORES </t>
  </si>
  <si>
    <t>PROAGUA MUNICIPAL 2021</t>
  </si>
  <si>
    <t>AL 31 DE JULIO DE 2021</t>
  </si>
  <si>
    <t>AL 31 DE AGOSTO DE 2021</t>
  </si>
  <si>
    <t>PROAGUA FEDERAL 2021</t>
  </si>
  <si>
    <t>AL 30 DE SEPTIEMBRE DE 2021</t>
  </si>
  <si>
    <t>AL 31 DE OCTUBRE DE 2021</t>
  </si>
  <si>
    <t>I.S.R. - E.B.I. 2021</t>
  </si>
  <si>
    <t>AL 30 DE NOVIEMBRE DE 2021</t>
  </si>
  <si>
    <t>AL 31 DE DICIEMBRE DE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</si>
</sst>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  <numFmt numFmtId="182" formatCode="0.0%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i/>
      <sz val="12"/>
      <color indexed="8"/>
      <name val="Arial Narrow"/>
      <family val="2"/>
    </font>
    <font>
      <sz val="8"/>
      <color indexed="62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sz val="8"/>
      <color theme="4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3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17" borderId="0" applyNumberFormat="0" applyBorder="0" applyAlignment="0" applyProtection="0"/>
    <xf numFmtId="0" fontId="44" fillId="27" borderId="0" applyNumberFormat="0" applyBorder="0" applyAlignment="0" applyProtection="0"/>
    <xf numFmtId="0" fontId="13" fillId="19" borderId="0" applyNumberFormat="0" applyBorder="0" applyAlignment="0" applyProtection="0"/>
    <xf numFmtId="0" fontId="44" fillId="28" borderId="0" applyNumberFormat="0" applyBorder="0" applyAlignment="0" applyProtection="0"/>
    <xf numFmtId="0" fontId="13" fillId="29" borderId="0" applyNumberFormat="0" applyBorder="0" applyAlignment="0" applyProtection="0"/>
    <xf numFmtId="0" fontId="44" fillId="30" borderId="0" applyNumberFormat="0" applyBorder="0" applyAlignment="0" applyProtection="0"/>
    <xf numFmtId="0" fontId="13" fillId="31" borderId="0" applyNumberFormat="0" applyBorder="0" applyAlignment="0" applyProtection="0"/>
    <xf numFmtId="0" fontId="44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1" applyNumberFormat="0" applyAlignment="0" applyProtection="0"/>
    <xf numFmtId="0" fontId="15" fillId="36" borderId="2" applyNumberFormat="0" applyAlignment="0" applyProtection="0"/>
    <xf numFmtId="0" fontId="47" fillId="37" borderId="3" applyNumberFormat="0" applyAlignment="0" applyProtection="0"/>
    <xf numFmtId="0" fontId="16" fillId="38" borderId="4" applyNumberFormat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0" applyNumberFormat="0" applyBorder="0" applyAlignment="0" applyProtection="0"/>
    <xf numFmtId="0" fontId="13" fillId="42" borderId="0" applyNumberFormat="0" applyBorder="0" applyAlignment="0" applyProtection="0"/>
    <xf numFmtId="0" fontId="44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0" applyNumberFormat="0" applyBorder="0" applyAlignment="0" applyProtection="0"/>
    <xf numFmtId="0" fontId="13" fillId="29" borderId="0" applyNumberFormat="0" applyBorder="0" applyAlignment="0" applyProtection="0"/>
    <xf numFmtId="0" fontId="44" fillId="46" borderId="0" applyNumberFormat="0" applyBorder="0" applyAlignment="0" applyProtection="0"/>
    <xf numFmtId="0" fontId="13" fillId="31" borderId="0" applyNumberFormat="0" applyBorder="0" applyAlignment="0" applyProtection="0"/>
    <xf numFmtId="0" fontId="44" fillId="47" borderId="0" applyNumberFormat="0" applyBorder="0" applyAlignment="0" applyProtection="0"/>
    <xf numFmtId="0" fontId="13" fillId="48" borderId="0" applyNumberFormat="0" applyBorder="0" applyAlignment="0" applyProtection="0"/>
    <xf numFmtId="0" fontId="51" fillId="49" borderId="1" applyNumberFormat="0" applyAlignment="0" applyProtection="0"/>
    <xf numFmtId="0" fontId="19" fillId="13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2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35" borderId="10" applyNumberFormat="0" applyAlignment="0" applyProtection="0"/>
    <xf numFmtId="0" fontId="22" fillId="36" borderId="11" applyNumberFormat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26" fillId="0" borderId="13" applyNumberFormat="0" applyFill="0" applyAlignment="0" applyProtection="0"/>
    <xf numFmtId="0" fontId="50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27" fillId="0" borderId="17" applyNumberFormat="0" applyFill="0" applyAlignment="0" applyProtection="0"/>
  </cellStyleXfs>
  <cellXfs count="114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4" fontId="4" fillId="0" borderId="0" xfId="87" applyFont="1" applyFill="1" applyAlignment="1">
      <alignment horizontal="center"/>
    </xf>
    <xf numFmtId="44" fontId="12" fillId="0" borderId="0" xfId="87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4" fontId="9" fillId="0" borderId="0" xfId="87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62" fillId="56" borderId="0" xfId="0" applyNumberFormat="1" applyFont="1" applyFill="1" applyAlignment="1">
      <alignment horizontal="center" wrapText="1"/>
    </xf>
    <xf numFmtId="9" fontId="63" fillId="0" borderId="18" xfId="118" applyFont="1" applyFill="1" applyBorder="1" applyAlignment="1">
      <alignment horizontal="center"/>
    </xf>
    <xf numFmtId="44" fontId="63" fillId="0" borderId="18" xfId="118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9" fontId="63" fillId="0" borderId="18" xfId="118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4" fontId="3" fillId="0" borderId="18" xfId="87" applyFont="1" applyFill="1" applyBorder="1" applyAlignment="1">
      <alignment horizontal="center"/>
    </xf>
    <xf numFmtId="0" fontId="62" fillId="56" borderId="0" xfId="0" applyFont="1" applyFill="1" applyAlignment="1">
      <alignment horizontal="center" wrapText="1"/>
    </xf>
    <xf numFmtId="0" fontId="9" fillId="56" borderId="0" xfId="0" applyFont="1" applyFill="1" applyAlignment="1">
      <alignment/>
    </xf>
    <xf numFmtId="44" fontId="9" fillId="56" borderId="0" xfId="0" applyNumberFormat="1" applyFont="1" applyFill="1" applyAlignment="1">
      <alignment/>
    </xf>
    <xf numFmtId="0" fontId="9" fillId="56" borderId="0" xfId="0" applyFont="1" applyFill="1" applyAlignment="1">
      <alignment horizontal="center"/>
    </xf>
    <xf numFmtId="0" fontId="5" fillId="56" borderId="18" xfId="0" applyFont="1" applyFill="1" applyBorder="1" applyAlignment="1">
      <alignment horizontal="center"/>
    </xf>
    <xf numFmtId="8" fontId="0" fillId="56" borderId="0" xfId="0" applyNumberFormat="1" applyFont="1" applyFill="1" applyAlignment="1">
      <alignment/>
    </xf>
    <xf numFmtId="44" fontId="64" fillId="56" borderId="0" xfId="87" applyFont="1" applyFill="1" applyAlignment="1">
      <alignment horizontal="center" wrapText="1"/>
    </xf>
    <xf numFmtId="9" fontId="7" fillId="56" borderId="18" xfId="0" applyNumberFormat="1" applyFont="1" applyFill="1" applyBorder="1" applyAlignment="1">
      <alignment horizontal="center"/>
    </xf>
    <xf numFmtId="8" fontId="0" fillId="56" borderId="0" xfId="0" applyNumberFormat="1" applyFont="1" applyFill="1" applyAlignment="1">
      <alignment horizontal="center"/>
    </xf>
    <xf numFmtId="44" fontId="5" fillId="56" borderId="0" xfId="87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44" fontId="9" fillId="56" borderId="0" xfId="87" applyFont="1" applyFill="1" applyBorder="1" applyAlignment="1">
      <alignment horizontal="center"/>
    </xf>
    <xf numFmtId="44" fontId="9" fillId="56" borderId="0" xfId="87" applyFont="1" applyFill="1" applyBorder="1" applyAlignment="1">
      <alignment/>
    </xf>
    <xf numFmtId="0" fontId="10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4" fontId="3" fillId="56" borderId="0" xfId="0" applyNumberFormat="1" applyFont="1" applyFill="1" applyBorder="1" applyAlignment="1">
      <alignment horizontal="center"/>
    </xf>
    <xf numFmtId="44" fontId="7" fillId="56" borderId="0" xfId="87" applyFont="1" applyFill="1" applyAlignment="1">
      <alignment/>
    </xf>
    <xf numFmtId="0" fontId="10" fillId="56" borderId="0" xfId="0" applyFont="1" applyFill="1" applyAlignment="1">
      <alignment horizontal="center"/>
    </xf>
    <xf numFmtId="0" fontId="3" fillId="56" borderId="0" xfId="0" applyFont="1" applyFill="1" applyBorder="1" applyAlignment="1">
      <alignment/>
    </xf>
    <xf numFmtId="0" fontId="3" fillId="56" borderId="0" xfId="0" applyFont="1" applyFill="1" applyAlignment="1">
      <alignment horizontal="center"/>
    </xf>
    <xf numFmtId="44" fontId="3" fillId="56" borderId="0" xfId="87" applyFont="1" applyFill="1" applyAlignment="1">
      <alignment/>
    </xf>
    <xf numFmtId="44" fontId="65" fillId="56" borderId="0" xfId="87" applyFont="1" applyFill="1" applyAlignment="1">
      <alignment horizontal="center"/>
    </xf>
    <xf numFmtId="0" fontId="11" fillId="56" borderId="0" xfId="0" applyFont="1" applyFill="1" applyAlignment="1">
      <alignment/>
    </xf>
    <xf numFmtId="0" fontId="7" fillId="56" borderId="0" xfId="0" applyFont="1" applyFill="1" applyBorder="1" applyAlignment="1">
      <alignment horizontal="center"/>
    </xf>
    <xf numFmtId="44" fontId="9" fillId="56" borderId="0" xfId="87" applyFont="1" applyFill="1" applyAlignment="1">
      <alignment horizontal="center"/>
    </xf>
    <xf numFmtId="44" fontId="9" fillId="56" borderId="0" xfId="87" applyFont="1" applyFill="1" applyAlignment="1">
      <alignment/>
    </xf>
    <xf numFmtId="44" fontId="7" fillId="0" borderId="19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6" fillId="56" borderId="0" xfId="0" applyFont="1" applyFill="1" applyBorder="1" applyAlignment="1">
      <alignment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44" fontId="9" fillId="56" borderId="0" xfId="0" applyNumberFormat="1" applyFont="1" applyFill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0" fontId="9" fillId="57" borderId="0" xfId="0" applyFont="1" applyFill="1" applyAlignment="1">
      <alignment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44" fontId="5" fillId="56" borderId="0" xfId="93" applyFont="1" applyFill="1" applyBorder="1" applyAlignment="1">
      <alignment horizontal="center"/>
    </xf>
    <xf numFmtId="44" fontId="7" fillId="0" borderId="0" xfId="93" applyFont="1" applyFill="1" applyBorder="1" applyAlignment="1">
      <alignment horizontal="center"/>
    </xf>
    <xf numFmtId="9" fontId="7" fillId="5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3" fillId="0" borderId="0" xfId="87" applyFont="1" applyFill="1" applyBorder="1" applyAlignment="1">
      <alignment/>
    </xf>
    <xf numFmtId="44" fontId="63" fillId="0" borderId="0" xfId="118" applyNumberFormat="1" applyFont="1" applyFill="1" applyBorder="1" applyAlignment="1">
      <alignment horizontal="center"/>
    </xf>
    <xf numFmtId="44" fontId="3" fillId="0" borderId="0" xfId="87" applyFont="1" applyFill="1" applyBorder="1" applyAlignment="1">
      <alignment horizontal="center"/>
    </xf>
    <xf numFmtId="44" fontId="9" fillId="57" borderId="0" xfId="0" applyNumberFormat="1" applyFont="1" applyFill="1" applyAlignment="1">
      <alignment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44" fontId="9" fillId="58" borderId="0" xfId="0" applyNumberFormat="1" applyFont="1" applyFill="1" applyAlignment="1">
      <alignment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44" fontId="66" fillId="56" borderId="0" xfId="0" applyNumberFormat="1" applyFont="1" applyFill="1" applyBorder="1" applyAlignment="1">
      <alignment horizontal="center"/>
    </xf>
    <xf numFmtId="0" fontId="66" fillId="56" borderId="0" xfId="0" applyFont="1" applyFill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44" fontId="7" fillId="0" borderId="20" xfId="93" applyFont="1" applyFill="1" applyBorder="1" applyAlignment="1">
      <alignment horizontal="center"/>
    </xf>
    <xf numFmtId="44" fontId="7" fillId="0" borderId="21" xfId="93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center" vertical="center"/>
    </xf>
    <xf numFmtId="0" fontId="5" fillId="56" borderId="20" xfId="0" applyFont="1" applyFill="1" applyBorder="1" applyAlignment="1">
      <alignment horizontal="center"/>
    </xf>
    <xf numFmtId="0" fontId="5" fillId="56" borderId="21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7" fillId="56" borderId="0" xfId="101" applyFont="1" applyFill="1" applyAlignment="1">
      <alignment horizontal="center"/>
      <protection/>
    </xf>
    <xf numFmtId="0" fontId="68" fillId="56" borderId="0" xfId="101" applyFont="1" applyFill="1" applyAlignment="1">
      <alignment horizontal="center"/>
      <protection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1619250</xdr:colOff>
      <xdr:row>166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1619250</xdr:colOff>
      <xdr:row>166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76200</xdr:rowOff>
    </xdr:from>
    <xdr:to>
      <xdr:col>1</xdr:col>
      <xdr:colOff>1590675</xdr:colOff>
      <xdr:row>166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57150</xdr:rowOff>
    </xdr:from>
    <xdr:to>
      <xdr:col>12</xdr:col>
      <xdr:colOff>733425</xdr:colOff>
      <xdr:row>1</xdr:row>
      <xdr:rowOff>133350</xdr:rowOff>
    </xdr:to>
    <xdr:sp>
      <xdr:nvSpPr>
        <xdr:cNvPr id="4" name="2 Rectángulo redondeado"/>
        <xdr:cNvSpPr>
          <a:spLocks/>
        </xdr:cNvSpPr>
      </xdr:nvSpPr>
      <xdr:spPr>
        <a:xfrm>
          <a:off x="10191750" y="0"/>
          <a:ext cx="1181100" cy="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  <xdr:twoCellAnchor editAs="oneCell">
    <xdr:from>
      <xdr:col>1</xdr:col>
      <xdr:colOff>38100</xdr:colOff>
      <xdr:row>55</xdr:row>
      <xdr:rowOff>28575</xdr:rowOff>
    </xdr:from>
    <xdr:to>
      <xdr:col>1</xdr:col>
      <xdr:colOff>1619250</xdr:colOff>
      <xdr:row>166</xdr:row>
      <xdr:rowOff>66675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108</xdr:row>
      <xdr:rowOff>28575</xdr:rowOff>
    </xdr:from>
    <xdr:to>
      <xdr:col>1</xdr:col>
      <xdr:colOff>1619250</xdr:colOff>
      <xdr:row>166</xdr:row>
      <xdr:rowOff>66675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163</xdr:row>
      <xdr:rowOff>28575</xdr:rowOff>
    </xdr:from>
    <xdr:to>
      <xdr:col>1</xdr:col>
      <xdr:colOff>1619250</xdr:colOff>
      <xdr:row>166</xdr:row>
      <xdr:rowOff>95250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218</xdr:row>
      <xdr:rowOff>28575</xdr:rowOff>
    </xdr:from>
    <xdr:to>
      <xdr:col>1</xdr:col>
      <xdr:colOff>1619250</xdr:colOff>
      <xdr:row>221</xdr:row>
      <xdr:rowOff>19050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02030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273</xdr:row>
      <xdr:rowOff>28575</xdr:rowOff>
    </xdr:from>
    <xdr:to>
      <xdr:col>1</xdr:col>
      <xdr:colOff>1619250</xdr:colOff>
      <xdr:row>276</xdr:row>
      <xdr:rowOff>19050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45957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8"/>
  <sheetViews>
    <sheetView tabSelected="1" view="pageBreakPreview" zoomScale="110" zoomScaleSheetLayoutView="110" zoomScalePageLayoutView="0" workbookViewId="0" topLeftCell="A273">
      <selection activeCell="K283" sqref="K283"/>
    </sheetView>
  </sheetViews>
  <sheetFormatPr defaultColWidth="11.421875" defaultRowHeight="12.75"/>
  <cols>
    <col min="1" max="1" width="1.57421875" style="2" customWidth="1"/>
    <col min="2" max="2" width="37.57421875" style="2" customWidth="1"/>
    <col min="3" max="3" width="12.8515625" style="14" customWidth="1"/>
    <col min="4" max="4" width="13.421875" style="14" customWidth="1"/>
    <col min="5" max="5" width="14.57421875" style="14" customWidth="1"/>
    <col min="6" max="6" width="14.00390625" style="14" customWidth="1"/>
    <col min="7" max="7" width="11.00390625" style="14" hidden="1" customWidth="1"/>
    <col min="8" max="8" width="6.28125" style="16" customWidth="1"/>
    <col min="9" max="10" width="13.7109375" style="14" customWidth="1"/>
    <col min="11" max="11" width="14.421875" style="14" customWidth="1"/>
    <col min="12" max="12" width="17.421875" style="14" bestFit="1" customWidth="1"/>
    <col min="13" max="13" width="13.421875" style="16" customWidth="1"/>
    <col min="14" max="14" width="12.28125" style="2" bestFit="1" customWidth="1"/>
    <col min="15" max="15" width="11.00390625" style="2" bestFit="1" customWidth="1"/>
    <col min="16" max="16" width="12.28125" style="2" bestFit="1" customWidth="1"/>
    <col min="17" max="16384" width="11.421875" style="2" customWidth="1"/>
  </cols>
  <sheetData>
    <row r="1" spans="2:13" ht="15.75" hidden="1">
      <c r="B1" s="109" t="s">
        <v>26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15.75" hidden="1">
      <c r="B2" s="7"/>
      <c r="C2" s="5"/>
      <c r="D2" s="5"/>
      <c r="E2" s="5"/>
      <c r="F2" s="5"/>
      <c r="G2" s="5"/>
      <c r="H2" s="19"/>
      <c r="I2" s="5"/>
      <c r="J2" s="5"/>
      <c r="K2" s="5"/>
      <c r="L2" s="5"/>
      <c r="M2" s="19"/>
    </row>
    <row r="3" spans="2:13" ht="15.75" hidden="1">
      <c r="B3" s="109" t="s">
        <v>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2:13" ht="16.5" hidden="1">
      <c r="B4" s="110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ht="16.5" hidden="1">
      <c r="B5" s="111" t="s">
        <v>68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.75" hidden="1">
      <c r="A6" s="15"/>
      <c r="B6" s="6"/>
      <c r="C6" s="4"/>
      <c r="D6" s="4"/>
      <c r="E6" s="4"/>
      <c r="F6" s="4"/>
      <c r="G6" s="4"/>
      <c r="H6" s="6"/>
      <c r="I6" s="4"/>
      <c r="J6" s="4"/>
      <c r="K6" s="4"/>
      <c r="L6" s="4"/>
      <c r="M6" s="6"/>
    </row>
    <row r="7" spans="2:13" ht="15.75" hidden="1">
      <c r="B7" s="3" t="s">
        <v>15</v>
      </c>
      <c r="C7" s="4"/>
      <c r="D7" s="4"/>
      <c r="E7" s="4"/>
      <c r="F7" s="4"/>
      <c r="G7" s="4"/>
      <c r="H7" s="6"/>
      <c r="I7" s="4"/>
      <c r="J7" s="4"/>
      <c r="K7" s="4"/>
      <c r="L7" s="4"/>
      <c r="M7" s="6"/>
    </row>
    <row r="8" spans="3:12" ht="13.5" hidden="1">
      <c r="C8" s="2"/>
      <c r="D8" s="112" t="s">
        <v>1</v>
      </c>
      <c r="E8" s="112"/>
      <c r="F8" s="113"/>
      <c r="G8" s="113"/>
      <c r="H8" s="113"/>
      <c r="I8" s="112" t="s">
        <v>2</v>
      </c>
      <c r="J8" s="112"/>
      <c r="K8" s="112"/>
      <c r="L8" s="112"/>
    </row>
    <row r="9" spans="2:13" ht="13.5" hidden="1">
      <c r="B9" s="106" t="s">
        <v>8</v>
      </c>
      <c r="C9" s="108" t="s">
        <v>12</v>
      </c>
      <c r="D9" s="108" t="s">
        <v>13</v>
      </c>
      <c r="E9" s="108" t="s">
        <v>16</v>
      </c>
      <c r="F9" s="100" t="s">
        <v>14</v>
      </c>
      <c r="G9" s="55"/>
      <c r="H9" s="100" t="s">
        <v>0</v>
      </c>
      <c r="I9" s="100" t="s">
        <v>22</v>
      </c>
      <c r="J9" s="100" t="s">
        <v>23</v>
      </c>
      <c r="K9" s="100" t="s">
        <v>24</v>
      </c>
      <c r="L9" s="100" t="s">
        <v>25</v>
      </c>
      <c r="M9" s="54" t="s">
        <v>9</v>
      </c>
    </row>
    <row r="10" spans="2:13" ht="13.5" hidden="1">
      <c r="B10" s="107"/>
      <c r="C10" s="108"/>
      <c r="D10" s="108"/>
      <c r="E10" s="108"/>
      <c r="F10" s="100"/>
      <c r="G10" s="55"/>
      <c r="H10" s="100"/>
      <c r="I10" s="100"/>
      <c r="J10" s="100"/>
      <c r="K10" s="100"/>
      <c r="L10" s="100"/>
      <c r="M10" s="1" t="s">
        <v>10</v>
      </c>
    </row>
    <row r="11" spans="2:15" ht="13.5" hidden="1">
      <c r="B11" s="8" t="s">
        <v>35</v>
      </c>
      <c r="C11" s="9">
        <f>SUM(C12:C17)</f>
        <v>10569638.75</v>
      </c>
      <c r="D11" s="9">
        <f>SUM(D12:D17)</f>
        <v>7292752.1899999995</v>
      </c>
      <c r="E11" s="9">
        <f>SUM(E12:E17)</f>
        <v>566.74</v>
      </c>
      <c r="F11" s="9">
        <f>SUM(F12:F17)</f>
        <v>4903403.27</v>
      </c>
      <c r="G11" s="9">
        <f>D11+E11-F11</f>
        <v>2389915.66</v>
      </c>
      <c r="H11" s="21">
        <f>F11/(D11+E11)</f>
        <v>0.6723143903429984</v>
      </c>
      <c r="I11" s="9">
        <f>SUM(I12:I17)</f>
        <v>2381040.5500000003</v>
      </c>
      <c r="J11" s="9">
        <f>SUM(J12:J17)</f>
        <v>20255.28</v>
      </c>
      <c r="K11" s="9">
        <f>SUM(K12:K17)</f>
        <v>10344</v>
      </c>
      <c r="L11" s="9">
        <f>I11+J11-K11</f>
        <v>2390951.83</v>
      </c>
      <c r="M11" s="25">
        <f>F11/C11</f>
        <v>0.46391398854572957</v>
      </c>
      <c r="N11" s="17"/>
      <c r="O11" s="9">
        <f>G11-L11</f>
        <v>-1036.1699999999255</v>
      </c>
    </row>
    <row r="12" spans="2:15" ht="13.5" hidden="1">
      <c r="B12" s="11" t="s">
        <v>17</v>
      </c>
      <c r="C12" s="12">
        <v>3522582.85</v>
      </c>
      <c r="D12" s="12">
        <v>3260765.91</v>
      </c>
      <c r="E12" s="12">
        <v>566.74</v>
      </c>
      <c r="F12" s="12">
        <v>4903403.27</v>
      </c>
      <c r="G12" s="12">
        <f aca="true" t="shared" si="0" ref="G12:G44">D12+E12-F12</f>
        <v>-1642070.6199999992</v>
      </c>
      <c r="H12" s="21"/>
      <c r="I12" s="12">
        <f>169074.39+2211966.16</f>
        <v>2381040.5500000003</v>
      </c>
      <c r="J12" s="12">
        <f>4006+16249.28</f>
        <v>20255.28</v>
      </c>
      <c r="K12" s="12">
        <v>10344</v>
      </c>
      <c r="L12" s="10">
        <f>I12+J12-K12</f>
        <v>2390951.83</v>
      </c>
      <c r="M12" s="23"/>
      <c r="O12" s="10"/>
    </row>
    <row r="13" spans="2:15" ht="13.5" hidden="1">
      <c r="B13" s="11" t="s">
        <v>18</v>
      </c>
      <c r="C13" s="12">
        <v>6347999.9</v>
      </c>
      <c r="D13" s="12">
        <v>3313958.1</v>
      </c>
      <c r="E13" s="12">
        <v>0</v>
      </c>
      <c r="F13" s="12">
        <v>0</v>
      </c>
      <c r="G13" s="12">
        <f t="shared" si="0"/>
        <v>3313958.1</v>
      </c>
      <c r="H13" s="21"/>
      <c r="I13" s="12">
        <v>0</v>
      </c>
      <c r="J13" s="12">
        <v>0</v>
      </c>
      <c r="K13" s="12">
        <v>0</v>
      </c>
      <c r="L13" s="10">
        <v>0</v>
      </c>
      <c r="M13" s="23"/>
      <c r="O13" s="10"/>
    </row>
    <row r="14" spans="2:15" ht="13.5" hidden="1">
      <c r="B14" s="11" t="s">
        <v>19</v>
      </c>
      <c r="C14" s="12">
        <v>696356</v>
      </c>
      <c r="D14" s="12">
        <v>718028.18</v>
      </c>
      <c r="E14" s="12">
        <v>0</v>
      </c>
      <c r="F14" s="12">
        <v>0</v>
      </c>
      <c r="G14" s="12">
        <f t="shared" si="0"/>
        <v>718028.18</v>
      </c>
      <c r="H14" s="21"/>
      <c r="I14" s="12">
        <v>0</v>
      </c>
      <c r="J14" s="12">
        <v>0</v>
      </c>
      <c r="K14" s="12">
        <v>0</v>
      </c>
      <c r="L14" s="10">
        <v>0</v>
      </c>
      <c r="M14" s="23"/>
      <c r="O14" s="10"/>
    </row>
    <row r="15" spans="2:15" ht="13.5" hidden="1">
      <c r="B15" s="11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21"/>
      <c r="I15" s="12">
        <v>0</v>
      </c>
      <c r="J15" s="12">
        <v>0</v>
      </c>
      <c r="K15" s="12">
        <v>0</v>
      </c>
      <c r="L15" s="10">
        <v>0</v>
      </c>
      <c r="M15" s="23"/>
      <c r="O15" s="10"/>
    </row>
    <row r="16" spans="2:15" ht="13.5" hidden="1">
      <c r="B16" s="11" t="s">
        <v>21</v>
      </c>
      <c r="C16" s="12">
        <v>0</v>
      </c>
      <c r="D16" s="12">
        <v>0</v>
      </c>
      <c r="E16" s="12">
        <v>0</v>
      </c>
      <c r="F16" s="12">
        <v>0</v>
      </c>
      <c r="G16" s="12">
        <f t="shared" si="0"/>
        <v>0</v>
      </c>
      <c r="H16" s="21"/>
      <c r="I16" s="12">
        <v>0</v>
      </c>
      <c r="J16" s="12">
        <v>0</v>
      </c>
      <c r="K16" s="12">
        <v>0</v>
      </c>
      <c r="L16" s="10">
        <v>0</v>
      </c>
      <c r="M16" s="23"/>
      <c r="O16" s="10"/>
    </row>
    <row r="17" spans="2:15" ht="13.5" hidden="1">
      <c r="B17" s="11" t="s">
        <v>51</v>
      </c>
      <c r="C17" s="12">
        <v>2700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21"/>
      <c r="I17" s="12">
        <v>0</v>
      </c>
      <c r="J17" s="12">
        <v>0</v>
      </c>
      <c r="K17" s="12">
        <v>0</v>
      </c>
      <c r="L17" s="10">
        <v>0</v>
      </c>
      <c r="M17" s="23"/>
      <c r="O17" s="10"/>
    </row>
    <row r="18" spans="2:15" ht="13.5" hidden="1">
      <c r="B18" s="8" t="s">
        <v>27</v>
      </c>
      <c r="C18" s="9">
        <f>SUM(C19:C29)</f>
        <v>79745401.78</v>
      </c>
      <c r="D18" s="9">
        <f>SUM(D19:D30)</f>
        <v>49286906.89</v>
      </c>
      <c r="E18" s="9">
        <f>SUM(E19:E27)</f>
        <v>0.32</v>
      </c>
      <c r="F18" s="9">
        <f>SUM(F19:F30)</f>
        <v>30042181.13</v>
      </c>
      <c r="G18" s="9">
        <f t="shared" si="0"/>
        <v>19244726.080000002</v>
      </c>
      <c r="H18" s="21"/>
      <c r="I18" s="9">
        <f>SUM(I19:I30)</f>
        <v>18851735.63</v>
      </c>
      <c r="J18" s="9">
        <f>SUM(J19:J30)</f>
        <v>577099.5599999999</v>
      </c>
      <c r="K18" s="9">
        <f>SUM(K19:K27)</f>
        <v>184108.97</v>
      </c>
      <c r="L18" s="9">
        <f>SUM(L19:L27)</f>
        <v>16341476.44</v>
      </c>
      <c r="M18" s="25"/>
      <c r="O18" s="9">
        <f aca="true" t="shared" si="1" ref="O18:O44">G18-L18</f>
        <v>2903249.6400000025</v>
      </c>
    </row>
    <row r="19" spans="2:15" ht="13.5" hidden="1">
      <c r="B19" s="11" t="s">
        <v>54</v>
      </c>
      <c r="C19" s="12">
        <v>26444293</v>
      </c>
      <c r="D19" s="12">
        <v>13952113.31</v>
      </c>
      <c r="E19" s="12">
        <v>0</v>
      </c>
      <c r="F19" s="12">
        <v>13574574.27</v>
      </c>
      <c r="G19" s="12">
        <f t="shared" si="0"/>
        <v>377539.04000000097</v>
      </c>
      <c r="H19" s="21">
        <f aca="true" t="shared" si="2" ref="H19:H30">F19/(D19+E19)</f>
        <v>0.9729403688450978</v>
      </c>
      <c r="I19" s="12">
        <v>530467.11</v>
      </c>
      <c r="J19" s="12">
        <v>1322.56</v>
      </c>
      <c r="K19" s="12">
        <v>154250.7</v>
      </c>
      <c r="L19" s="10">
        <f aca="true" t="shared" si="3" ref="L19:L30">I19+J19-K19</f>
        <v>377538.97000000003</v>
      </c>
      <c r="M19" s="23">
        <f aca="true" t="shared" si="4" ref="M19:M28">F19/C19</f>
        <v>0.5133271768695045</v>
      </c>
      <c r="O19" s="10">
        <f t="shared" si="1"/>
        <v>0.0700000009383075</v>
      </c>
    </row>
    <row r="20" spans="2:15" ht="13.5" hidden="1">
      <c r="B20" s="11" t="s">
        <v>55</v>
      </c>
      <c r="C20" s="12">
        <v>12591512</v>
      </c>
      <c r="D20" s="12">
        <v>8814058.4</v>
      </c>
      <c r="E20" s="12">
        <v>0.31</v>
      </c>
      <c r="F20" s="12">
        <v>680636.46</v>
      </c>
      <c r="G20" s="12">
        <f t="shared" si="0"/>
        <v>8133422.250000001</v>
      </c>
      <c r="H20" s="21">
        <f t="shared" si="2"/>
        <v>0.07722168440150995</v>
      </c>
      <c r="I20" s="12">
        <v>8142223.59</v>
      </c>
      <c r="J20" s="12">
        <v>0</v>
      </c>
      <c r="K20" s="12">
        <f>2933.78+5867.56</f>
        <v>8801.34</v>
      </c>
      <c r="L20" s="10">
        <f t="shared" si="3"/>
        <v>8133422.25</v>
      </c>
      <c r="M20" s="23">
        <f t="shared" si="4"/>
        <v>0.05405518098223629</v>
      </c>
      <c r="O20" s="10">
        <f t="shared" si="1"/>
        <v>0</v>
      </c>
    </row>
    <row r="21" spans="2:15" ht="13.5" hidden="1">
      <c r="B21" s="11" t="s">
        <v>56</v>
      </c>
      <c r="C21" s="12">
        <v>25407614</v>
      </c>
      <c r="D21" s="12">
        <v>14821108.4</v>
      </c>
      <c r="E21" s="12">
        <v>0</v>
      </c>
      <c r="F21" s="12">
        <v>12315031.79</v>
      </c>
      <c r="G21" s="12">
        <f t="shared" si="0"/>
        <v>2506076.6100000013</v>
      </c>
      <c r="H21" s="21">
        <f t="shared" si="2"/>
        <v>0.8309116604261526</v>
      </c>
      <c r="I21" s="12">
        <v>2525249.93</v>
      </c>
      <c r="J21" s="12">
        <f>701.8+200+982</f>
        <v>1883.8</v>
      </c>
      <c r="K21" s="12">
        <v>21056.93</v>
      </c>
      <c r="L21" s="10">
        <f t="shared" si="3"/>
        <v>2506076.8</v>
      </c>
      <c r="M21" s="23">
        <f t="shared" si="4"/>
        <v>0.4846984762126817</v>
      </c>
      <c r="O21" s="10">
        <f t="shared" si="1"/>
        <v>-0.18999999854713678</v>
      </c>
    </row>
    <row r="22" spans="2:15" ht="13.5" hidden="1">
      <c r="B22" s="11" t="s">
        <v>57</v>
      </c>
      <c r="C22" s="12">
        <v>1057470</v>
      </c>
      <c r="D22" s="12">
        <v>563308.4</v>
      </c>
      <c r="E22" s="12">
        <v>0</v>
      </c>
      <c r="F22" s="12">
        <v>0</v>
      </c>
      <c r="G22" s="12">
        <f t="shared" si="0"/>
        <v>563308.4</v>
      </c>
      <c r="H22" s="21">
        <f t="shared" si="2"/>
        <v>0</v>
      </c>
      <c r="I22" s="12">
        <v>563308.4</v>
      </c>
      <c r="J22" s="12">
        <v>0</v>
      </c>
      <c r="K22" s="12">
        <v>0</v>
      </c>
      <c r="L22" s="10">
        <f t="shared" si="3"/>
        <v>563308.4</v>
      </c>
      <c r="M22" s="23">
        <f t="shared" si="4"/>
        <v>0</v>
      </c>
      <c r="O22" s="10">
        <f t="shared" si="1"/>
        <v>0</v>
      </c>
    </row>
    <row r="23" spans="2:15" ht="13.5" hidden="1">
      <c r="B23" s="11" t="s">
        <v>58</v>
      </c>
      <c r="C23" s="12">
        <v>12329603</v>
      </c>
      <c r="D23" s="12">
        <v>7256444.94</v>
      </c>
      <c r="E23" s="12">
        <v>0.01</v>
      </c>
      <c r="F23" s="12">
        <v>3368575.61</v>
      </c>
      <c r="G23" s="12">
        <f t="shared" si="0"/>
        <v>3887869.3400000003</v>
      </c>
      <c r="H23" s="21">
        <f t="shared" si="2"/>
        <v>0.464218447629786</v>
      </c>
      <c r="I23" s="12">
        <v>3887869.36</v>
      </c>
      <c r="J23" s="12">
        <v>0</v>
      </c>
      <c r="K23" s="12">
        <v>0</v>
      </c>
      <c r="L23" s="10">
        <f t="shared" si="3"/>
        <v>3887869.36</v>
      </c>
      <c r="M23" s="23">
        <f t="shared" si="4"/>
        <v>0.2732103872282019</v>
      </c>
      <c r="O23" s="10">
        <f t="shared" si="1"/>
        <v>-0.019999999552965164</v>
      </c>
    </row>
    <row r="24" spans="2:15" ht="13.5" hidden="1">
      <c r="B24" s="11" t="s">
        <v>59</v>
      </c>
      <c r="C24" s="12">
        <v>1167126</v>
      </c>
      <c r="D24" s="12">
        <v>473790.39</v>
      </c>
      <c r="E24" s="12">
        <v>0</v>
      </c>
      <c r="F24" s="12">
        <v>21212.92</v>
      </c>
      <c r="G24" s="12">
        <f t="shared" si="0"/>
        <v>452577.47000000003</v>
      </c>
      <c r="H24" s="21">
        <f t="shared" si="2"/>
        <v>0.04477279499062866</v>
      </c>
      <c r="I24" s="12">
        <v>452577.47</v>
      </c>
      <c r="J24" s="12">
        <v>0</v>
      </c>
      <c r="K24" s="12">
        <v>0</v>
      </c>
      <c r="L24" s="10">
        <f t="shared" si="3"/>
        <v>452577.47</v>
      </c>
      <c r="M24" s="23">
        <f t="shared" si="4"/>
        <v>0.018175346963395553</v>
      </c>
      <c r="O24" s="10">
        <f t="shared" si="1"/>
        <v>0</v>
      </c>
    </row>
    <row r="25" spans="2:15" ht="13.5" hidden="1">
      <c r="B25" s="11" t="s">
        <v>60</v>
      </c>
      <c r="C25" s="12">
        <v>161698</v>
      </c>
      <c r="D25" s="12">
        <v>161936.63</v>
      </c>
      <c r="E25" s="12">
        <v>0</v>
      </c>
      <c r="F25" s="12">
        <v>0</v>
      </c>
      <c r="G25" s="12">
        <f t="shared" si="0"/>
        <v>161936.63</v>
      </c>
      <c r="H25" s="21">
        <f t="shared" si="2"/>
        <v>0</v>
      </c>
      <c r="I25" s="12">
        <v>161936.63</v>
      </c>
      <c r="J25" s="12">
        <v>0</v>
      </c>
      <c r="K25" s="12">
        <v>0</v>
      </c>
      <c r="L25" s="10">
        <f t="shared" si="3"/>
        <v>161936.63</v>
      </c>
      <c r="M25" s="23">
        <f t="shared" si="4"/>
        <v>0</v>
      </c>
      <c r="O25" s="10">
        <f t="shared" si="1"/>
        <v>0</v>
      </c>
    </row>
    <row r="26" spans="2:15" ht="13.5" hidden="1">
      <c r="B26" s="11" t="s">
        <v>61</v>
      </c>
      <c r="C26" s="12">
        <v>44192</v>
      </c>
      <c r="D26" s="12">
        <v>25778.45</v>
      </c>
      <c r="E26" s="12">
        <v>0</v>
      </c>
      <c r="F26" s="12">
        <v>8056.08</v>
      </c>
      <c r="G26" s="12">
        <f t="shared" si="0"/>
        <v>17722.370000000003</v>
      </c>
      <c r="H26" s="21">
        <f t="shared" si="2"/>
        <v>0.31251219526387347</v>
      </c>
      <c r="I26" s="12">
        <v>17722.37</v>
      </c>
      <c r="J26" s="12">
        <v>0</v>
      </c>
      <c r="K26" s="12">
        <v>0</v>
      </c>
      <c r="L26" s="10">
        <f t="shared" si="3"/>
        <v>17722.37</v>
      </c>
      <c r="M26" s="23">
        <f t="shared" si="4"/>
        <v>0.18229724837074585</v>
      </c>
      <c r="O26" s="10">
        <f t="shared" si="1"/>
        <v>0</v>
      </c>
    </row>
    <row r="27" spans="2:15" ht="13.5" hidden="1">
      <c r="B27" s="11" t="s">
        <v>62</v>
      </c>
      <c r="C27" s="12">
        <v>439401</v>
      </c>
      <c r="D27" s="12">
        <v>241024.19</v>
      </c>
      <c r="E27" s="12">
        <v>0</v>
      </c>
      <c r="F27" s="12">
        <v>0</v>
      </c>
      <c r="G27" s="12">
        <f t="shared" si="0"/>
        <v>241024.19</v>
      </c>
      <c r="H27" s="21">
        <f t="shared" si="2"/>
        <v>0</v>
      </c>
      <c r="I27" s="12">
        <v>241024.19</v>
      </c>
      <c r="J27" s="12">
        <v>0</v>
      </c>
      <c r="K27" s="12">
        <v>0</v>
      </c>
      <c r="L27" s="10">
        <f t="shared" si="3"/>
        <v>241024.19</v>
      </c>
      <c r="M27" s="23">
        <f t="shared" si="4"/>
        <v>0</v>
      </c>
      <c r="O27" s="10">
        <f t="shared" si="1"/>
        <v>0</v>
      </c>
    </row>
    <row r="28" spans="2:15" ht="13.5" hidden="1">
      <c r="B28" s="11" t="s">
        <v>63</v>
      </c>
      <c r="C28" s="12">
        <v>102492.78</v>
      </c>
      <c r="D28" s="12">
        <v>102492.78</v>
      </c>
      <c r="E28" s="12">
        <v>0</v>
      </c>
      <c r="F28" s="12">
        <v>0</v>
      </c>
      <c r="G28" s="12">
        <f t="shared" si="0"/>
        <v>102492.78</v>
      </c>
      <c r="H28" s="21">
        <f t="shared" si="2"/>
        <v>0</v>
      </c>
      <c r="I28" s="12">
        <v>102492.78</v>
      </c>
      <c r="J28" s="12">
        <v>0</v>
      </c>
      <c r="K28" s="12">
        <v>0</v>
      </c>
      <c r="L28" s="10">
        <f t="shared" si="3"/>
        <v>102492.78</v>
      </c>
      <c r="M28" s="23">
        <f t="shared" si="4"/>
        <v>0</v>
      </c>
      <c r="O28" s="10">
        <f t="shared" si="1"/>
        <v>0</v>
      </c>
    </row>
    <row r="29" spans="2:15" ht="13.5" hidden="1">
      <c r="B29" s="11" t="s">
        <v>65</v>
      </c>
      <c r="C29" s="12">
        <v>0</v>
      </c>
      <c r="D29" s="12">
        <v>1764260</v>
      </c>
      <c r="E29" s="12"/>
      <c r="F29" s="12">
        <v>74094</v>
      </c>
      <c r="G29" s="12">
        <f t="shared" si="0"/>
        <v>1690166</v>
      </c>
      <c r="H29" s="21">
        <f t="shared" si="2"/>
        <v>0.041997211295387304</v>
      </c>
      <c r="I29" s="12">
        <v>1690166</v>
      </c>
      <c r="J29" s="12">
        <v>0</v>
      </c>
      <c r="K29" s="12">
        <v>0</v>
      </c>
      <c r="L29" s="10">
        <f t="shared" si="3"/>
        <v>1690166</v>
      </c>
      <c r="M29" s="23">
        <v>0</v>
      </c>
      <c r="O29" s="10">
        <f t="shared" si="1"/>
        <v>0</v>
      </c>
    </row>
    <row r="30" spans="2:15" ht="13.5" hidden="1">
      <c r="B30" s="11" t="s">
        <v>67</v>
      </c>
      <c r="C30" s="12">
        <v>0</v>
      </c>
      <c r="D30" s="12">
        <v>1110591</v>
      </c>
      <c r="E30" s="12">
        <v>0</v>
      </c>
      <c r="F30" s="12">
        <v>0</v>
      </c>
      <c r="G30" s="12">
        <f t="shared" si="0"/>
        <v>1110591</v>
      </c>
      <c r="H30" s="21">
        <f t="shared" si="2"/>
        <v>0</v>
      </c>
      <c r="I30" s="12">
        <v>536697.8</v>
      </c>
      <c r="J30" s="12">
        <v>573893.2</v>
      </c>
      <c r="K30" s="12"/>
      <c r="L30" s="10">
        <f t="shared" si="3"/>
        <v>1110591</v>
      </c>
      <c r="M30" s="23">
        <v>0</v>
      </c>
      <c r="O30" s="10">
        <f t="shared" si="1"/>
        <v>0</v>
      </c>
    </row>
    <row r="31" spans="2:15" ht="13.5" hidden="1">
      <c r="B31" s="8" t="s">
        <v>33</v>
      </c>
      <c r="C31" s="9">
        <f>SUM(C32:C42)</f>
        <v>6584416.71</v>
      </c>
      <c r="D31" s="9">
        <f>SUM(D32:D42)</f>
        <v>131433.9</v>
      </c>
      <c r="E31" s="9">
        <f>SUM(E32:E43)</f>
        <v>2141.37</v>
      </c>
      <c r="F31" s="9">
        <f>SUM(F32:F43)</f>
        <v>6377917.33</v>
      </c>
      <c r="G31" s="9">
        <f t="shared" si="0"/>
        <v>-6244342.0600000005</v>
      </c>
      <c r="H31" s="22"/>
      <c r="I31" s="9">
        <f>SUM(I32:I43)</f>
        <v>715259.6499999999</v>
      </c>
      <c r="J31" s="9">
        <f>SUM(J32:J43)</f>
        <v>18321.22</v>
      </c>
      <c r="K31" s="9">
        <f>SUM(K32:K43)</f>
        <v>1051911.61</v>
      </c>
      <c r="L31" s="9">
        <f>SUM(L32:L43)</f>
        <v>172570.68</v>
      </c>
      <c r="M31" s="23"/>
      <c r="O31" s="9">
        <f t="shared" si="1"/>
        <v>-6416912.74</v>
      </c>
    </row>
    <row r="32" spans="2:15" ht="13.5" hidden="1">
      <c r="B32" s="11" t="s">
        <v>42</v>
      </c>
      <c r="C32" s="12">
        <v>160009.44</v>
      </c>
      <c r="D32" s="12">
        <v>122861.9</v>
      </c>
      <c r="E32" s="12">
        <v>98.27</v>
      </c>
      <c r="F32" s="12">
        <v>152995.34</v>
      </c>
      <c r="G32" s="12">
        <f t="shared" si="0"/>
        <v>-30035.17</v>
      </c>
      <c r="H32" s="24"/>
      <c r="I32" s="12">
        <v>35479.93</v>
      </c>
      <c r="J32" s="12">
        <v>0</v>
      </c>
      <c r="K32" s="12">
        <v>0</v>
      </c>
      <c r="L32" s="10">
        <v>0</v>
      </c>
      <c r="M32" s="23">
        <f aca="true" t="shared" si="5" ref="M32:M42">F32/C32</f>
        <v>0.9561644612967835</v>
      </c>
      <c r="O32" s="10">
        <f t="shared" si="1"/>
        <v>-30035.17</v>
      </c>
    </row>
    <row r="33" spans="2:15" ht="13.5" hidden="1">
      <c r="B33" s="11" t="s">
        <v>43</v>
      </c>
      <c r="C33" s="12">
        <v>439871.16</v>
      </c>
      <c r="D33" s="12">
        <v>0</v>
      </c>
      <c r="E33" s="12">
        <v>71.41</v>
      </c>
      <c r="F33" s="12">
        <v>439871.16</v>
      </c>
      <c r="G33" s="12">
        <f t="shared" si="0"/>
        <v>-439799.75</v>
      </c>
      <c r="H33" s="24"/>
      <c r="I33" s="12">
        <v>0</v>
      </c>
      <c r="J33" s="12">
        <f>5800+1368.8</f>
        <v>7168.8</v>
      </c>
      <c r="K33" s="12">
        <v>0</v>
      </c>
      <c r="L33" s="10">
        <f aca="true" t="shared" si="6" ref="L33:L42">I33+J33-K33</f>
        <v>7168.8</v>
      </c>
      <c r="M33" s="23">
        <f t="shared" si="5"/>
        <v>1</v>
      </c>
      <c r="O33" s="10">
        <f t="shared" si="1"/>
        <v>-446968.55</v>
      </c>
    </row>
    <row r="34" spans="2:15" ht="13.5" hidden="1">
      <c r="B34" s="11" t="s">
        <v>44</v>
      </c>
      <c r="C34" s="12">
        <v>354507.28</v>
      </c>
      <c r="D34" s="12">
        <v>8572</v>
      </c>
      <c r="E34" s="12">
        <v>81.07</v>
      </c>
      <c r="F34" s="12">
        <v>354588.35</v>
      </c>
      <c r="G34" s="12">
        <f t="shared" si="0"/>
        <v>-345935.27999999997</v>
      </c>
      <c r="H34" s="24"/>
      <c r="I34" s="12">
        <v>0</v>
      </c>
      <c r="J34" s="12">
        <v>0</v>
      </c>
      <c r="K34" s="12">
        <v>0</v>
      </c>
      <c r="L34" s="10">
        <f t="shared" si="6"/>
        <v>0</v>
      </c>
      <c r="M34" s="23">
        <f t="shared" si="5"/>
        <v>1.0002286835971321</v>
      </c>
      <c r="O34" s="10">
        <f t="shared" si="1"/>
        <v>-345935.27999999997</v>
      </c>
    </row>
    <row r="35" spans="2:15" ht="13.5" hidden="1">
      <c r="B35" s="11" t="s">
        <v>45</v>
      </c>
      <c r="C35" s="12">
        <v>1002913.77</v>
      </c>
      <c r="D35" s="12">
        <v>0</v>
      </c>
      <c r="E35" s="12">
        <v>384.78</v>
      </c>
      <c r="F35" s="12">
        <v>1002913.77</v>
      </c>
      <c r="G35" s="12">
        <f t="shared" si="0"/>
        <v>-1002528.99</v>
      </c>
      <c r="H35" s="24"/>
      <c r="I35" s="12">
        <v>0</v>
      </c>
      <c r="J35" s="12">
        <v>0</v>
      </c>
      <c r="K35" s="12">
        <v>0</v>
      </c>
      <c r="L35" s="10">
        <f t="shared" si="6"/>
        <v>0</v>
      </c>
      <c r="M35" s="23">
        <f t="shared" si="5"/>
        <v>1</v>
      </c>
      <c r="O35" s="10">
        <f t="shared" si="1"/>
        <v>-1002528.99</v>
      </c>
    </row>
    <row r="36" spans="2:15" ht="13.5" hidden="1">
      <c r="B36" s="11" t="s">
        <v>46</v>
      </c>
      <c r="C36" s="12">
        <v>41804.34</v>
      </c>
      <c r="D36" s="12">
        <v>0</v>
      </c>
      <c r="E36" s="12">
        <v>8.51</v>
      </c>
      <c r="F36" s="12">
        <v>41811.06</v>
      </c>
      <c r="G36" s="12">
        <f t="shared" si="0"/>
        <v>-41802.549999999996</v>
      </c>
      <c r="H36" s="24"/>
      <c r="I36" s="12">
        <v>0</v>
      </c>
      <c r="J36" s="12">
        <v>0</v>
      </c>
      <c r="K36" s="12">
        <v>0</v>
      </c>
      <c r="L36" s="10">
        <f t="shared" si="6"/>
        <v>0</v>
      </c>
      <c r="M36" s="23">
        <f t="shared" si="5"/>
        <v>1.0001607488600466</v>
      </c>
      <c r="O36" s="10">
        <f t="shared" si="1"/>
        <v>-41802.549999999996</v>
      </c>
    </row>
    <row r="37" spans="2:15" ht="13.5" hidden="1">
      <c r="B37" s="11" t="s">
        <v>47</v>
      </c>
      <c r="C37" s="12">
        <v>92195.51</v>
      </c>
      <c r="D37" s="12">
        <v>0</v>
      </c>
      <c r="E37" s="12">
        <v>6.49</v>
      </c>
      <c r="F37" s="12">
        <v>92195.51</v>
      </c>
      <c r="G37" s="12">
        <f t="shared" si="0"/>
        <v>-92189.01999999999</v>
      </c>
      <c r="H37" s="24"/>
      <c r="I37" s="12">
        <v>0</v>
      </c>
      <c r="J37" s="12">
        <v>0</v>
      </c>
      <c r="K37" s="12">
        <v>0</v>
      </c>
      <c r="L37" s="10">
        <f t="shared" si="6"/>
        <v>0</v>
      </c>
      <c r="M37" s="23">
        <f t="shared" si="5"/>
        <v>1</v>
      </c>
      <c r="O37" s="10">
        <f t="shared" si="1"/>
        <v>-92189.01999999999</v>
      </c>
    </row>
    <row r="38" spans="2:15" ht="13.5" hidden="1">
      <c r="B38" s="11" t="s">
        <v>48</v>
      </c>
      <c r="C38" s="12">
        <v>21421.27</v>
      </c>
      <c r="D38" s="12">
        <v>0</v>
      </c>
      <c r="E38" s="12">
        <v>3.02</v>
      </c>
      <c r="F38" s="12">
        <v>21421.27</v>
      </c>
      <c r="G38" s="12">
        <f t="shared" si="0"/>
        <v>-21418.25</v>
      </c>
      <c r="H38" s="24"/>
      <c r="I38" s="12">
        <v>0</v>
      </c>
      <c r="J38" s="12">
        <v>0</v>
      </c>
      <c r="K38" s="12">
        <v>0</v>
      </c>
      <c r="L38" s="10">
        <f t="shared" si="6"/>
        <v>0</v>
      </c>
      <c r="M38" s="23">
        <f t="shared" si="5"/>
        <v>1</v>
      </c>
      <c r="O38" s="10">
        <f t="shared" si="1"/>
        <v>-21418.25</v>
      </c>
    </row>
    <row r="39" spans="2:15" ht="13.5" hidden="1">
      <c r="B39" s="11" t="s">
        <v>49</v>
      </c>
      <c r="C39" s="12">
        <v>4228.4</v>
      </c>
      <c r="D39" s="12">
        <v>0</v>
      </c>
      <c r="E39" s="12">
        <v>0</v>
      </c>
      <c r="F39" s="12">
        <v>4228.4</v>
      </c>
      <c r="G39" s="12">
        <f t="shared" si="0"/>
        <v>-4228.4</v>
      </c>
      <c r="H39" s="24"/>
      <c r="I39" s="12">
        <v>0</v>
      </c>
      <c r="J39" s="12">
        <v>0</v>
      </c>
      <c r="K39" s="12">
        <v>0</v>
      </c>
      <c r="L39" s="10">
        <f t="shared" si="6"/>
        <v>0</v>
      </c>
      <c r="M39" s="23">
        <f t="shared" si="5"/>
        <v>1</v>
      </c>
      <c r="O39" s="10">
        <f t="shared" si="1"/>
        <v>-4228.4</v>
      </c>
    </row>
    <row r="40" spans="2:15" ht="13.5" hidden="1">
      <c r="B40" s="11" t="s">
        <v>50</v>
      </c>
      <c r="C40" s="12">
        <v>232420.37</v>
      </c>
      <c r="D40" s="12">
        <v>0</v>
      </c>
      <c r="E40" s="12">
        <v>32.89</v>
      </c>
      <c r="F40" s="12">
        <v>232451.37</v>
      </c>
      <c r="G40" s="12">
        <f t="shared" si="0"/>
        <v>-232418.47999999998</v>
      </c>
      <c r="H40" s="24"/>
      <c r="I40" s="12">
        <v>0</v>
      </c>
      <c r="J40" s="12">
        <v>0</v>
      </c>
      <c r="K40" s="12">
        <v>0</v>
      </c>
      <c r="L40" s="10">
        <f t="shared" si="6"/>
        <v>0</v>
      </c>
      <c r="M40" s="23">
        <f t="shared" si="5"/>
        <v>1.000133379014929</v>
      </c>
      <c r="O40" s="10">
        <f t="shared" si="1"/>
        <v>-232418.47999999998</v>
      </c>
    </row>
    <row r="41" spans="2:15" ht="13.5" hidden="1">
      <c r="B41" s="11" t="s">
        <v>52</v>
      </c>
      <c r="C41" s="12">
        <v>4072457.96</v>
      </c>
      <c r="D41" s="12">
        <v>0</v>
      </c>
      <c r="E41" s="12">
        <v>0</v>
      </c>
      <c r="F41" s="12">
        <v>4035441.1</v>
      </c>
      <c r="G41" s="12">
        <f t="shared" si="0"/>
        <v>-4035441.1</v>
      </c>
      <c r="H41" s="24"/>
      <c r="I41" s="12">
        <v>0</v>
      </c>
      <c r="J41" s="12">
        <v>0</v>
      </c>
      <c r="K41" s="12">
        <v>0</v>
      </c>
      <c r="L41" s="10">
        <f t="shared" si="6"/>
        <v>0</v>
      </c>
      <c r="M41" s="23">
        <f t="shared" si="5"/>
        <v>0.9909104377838686</v>
      </c>
      <c r="O41" s="10">
        <f t="shared" si="1"/>
        <v>-4035441.1</v>
      </c>
    </row>
    <row r="42" spans="2:15" ht="13.5" hidden="1">
      <c r="B42" s="11" t="s">
        <v>66</v>
      </c>
      <c r="C42" s="12">
        <f>41574.61+60747.7+60264.9</f>
        <v>162587.21</v>
      </c>
      <c r="D42" s="12">
        <v>0</v>
      </c>
      <c r="E42" s="12">
        <f>191.87+87.76</f>
        <v>279.63</v>
      </c>
      <c r="F42" s="12">
        <v>0</v>
      </c>
      <c r="G42" s="12">
        <f t="shared" si="0"/>
        <v>279.63</v>
      </c>
      <c r="H42" s="24"/>
      <c r="I42" s="12">
        <f>112925.94+811.58+51664.36</f>
        <v>165401.88</v>
      </c>
      <c r="J42" s="12">
        <v>0</v>
      </c>
      <c r="K42" s="12">
        <v>0</v>
      </c>
      <c r="L42" s="10">
        <f t="shared" si="6"/>
        <v>165401.88</v>
      </c>
      <c r="M42" s="23">
        <f t="shared" si="5"/>
        <v>0</v>
      </c>
      <c r="O42" s="10">
        <f t="shared" si="1"/>
        <v>-165122.25</v>
      </c>
    </row>
    <row r="43" spans="2:15" ht="13.5" hidden="1">
      <c r="B43" s="11" t="s">
        <v>53</v>
      </c>
      <c r="C43" s="12">
        <v>0</v>
      </c>
      <c r="D43" s="12">
        <v>0</v>
      </c>
      <c r="E43" s="12">
        <f>17.1+415.94+98.25+14.2+156.21+230.58+11.11+231.91</f>
        <v>1175.3000000000002</v>
      </c>
      <c r="F43" s="12">
        <v>0</v>
      </c>
      <c r="G43" s="12">
        <f t="shared" si="0"/>
        <v>1175.3000000000002</v>
      </c>
      <c r="H43" s="24"/>
      <c r="I43" s="12">
        <f>12898.22+244808.46+57829.2+10510.52+91933.29+95809.91+588.24</f>
        <v>514377.83999999997</v>
      </c>
      <c r="J43" s="12">
        <f>294.92+10857.5</f>
        <v>11152.42</v>
      </c>
      <c r="K43" s="12">
        <f>148258.24+805263.61+6806.29+91583.36+0.11</f>
        <v>1051911.61</v>
      </c>
      <c r="L43" s="12">
        <v>0</v>
      </c>
      <c r="M43" s="23">
        <v>0</v>
      </c>
      <c r="O43" s="12">
        <f t="shared" si="1"/>
        <v>1175.3000000000002</v>
      </c>
    </row>
    <row r="44" spans="2:15" ht="13.5" hidden="1">
      <c r="B44" s="13" t="s">
        <v>7</v>
      </c>
      <c r="C44" s="9">
        <f>C11+C18+C31</f>
        <v>96899457.24</v>
      </c>
      <c r="D44" s="9">
        <f>D31+D18+D11</f>
        <v>56711092.98</v>
      </c>
      <c r="E44" s="9">
        <f>E31+E18+E11</f>
        <v>2708.4300000000003</v>
      </c>
      <c r="F44" s="9">
        <f>F31+F18+F11</f>
        <v>41323501.730000004</v>
      </c>
      <c r="G44" s="9">
        <f t="shared" si="0"/>
        <v>15390299.679999992</v>
      </c>
      <c r="H44" s="22"/>
      <c r="I44" s="9">
        <f>I31+I18+I11</f>
        <v>21948035.83</v>
      </c>
      <c r="J44" s="9">
        <f>J31+J18+J11</f>
        <v>615676.0599999999</v>
      </c>
      <c r="K44" s="9">
        <f>K31+K18+K11</f>
        <v>1246364.58</v>
      </c>
      <c r="L44" s="9">
        <v>4736134.47</v>
      </c>
      <c r="M44" s="26"/>
      <c r="O44" s="9">
        <f t="shared" si="1"/>
        <v>10654165.209999993</v>
      </c>
    </row>
    <row r="45" spans="3:12" ht="12.75" hidden="1">
      <c r="C45" s="18"/>
      <c r="D45" s="18"/>
      <c r="E45" s="18"/>
      <c r="F45" s="2"/>
      <c r="G45" s="2"/>
      <c r="I45" s="18"/>
      <c r="J45" s="18"/>
      <c r="K45" s="18"/>
      <c r="L45" s="2"/>
    </row>
    <row r="46" spans="1:13" ht="12.75" hidden="1">
      <c r="A46" s="28"/>
      <c r="B46" s="28"/>
      <c r="C46" s="29"/>
      <c r="D46" s="101" t="s">
        <v>11</v>
      </c>
      <c r="E46" s="101"/>
      <c r="F46" s="101"/>
      <c r="G46" s="101"/>
      <c r="H46" s="101"/>
      <c r="I46" s="101"/>
      <c r="J46" s="101"/>
      <c r="K46" s="28"/>
      <c r="L46" s="28"/>
      <c r="M46" s="30"/>
    </row>
    <row r="47" spans="1:13" ht="13.5" hidden="1">
      <c r="A47" s="28"/>
      <c r="B47" s="28"/>
      <c r="C47" s="102" t="s">
        <v>3</v>
      </c>
      <c r="D47" s="102"/>
      <c r="E47" s="103" t="s">
        <v>4</v>
      </c>
      <c r="F47" s="104"/>
      <c r="G47" s="104"/>
      <c r="H47" s="105"/>
      <c r="I47" s="56" t="s">
        <v>64</v>
      </c>
      <c r="J47" s="31" t="s">
        <v>0</v>
      </c>
      <c r="K47" s="28"/>
      <c r="L47" s="32"/>
      <c r="M47" s="33"/>
    </row>
    <row r="48" spans="1:13" ht="13.5" hidden="1">
      <c r="A48" s="28"/>
      <c r="B48" s="28"/>
      <c r="C48" s="95" t="s">
        <v>31</v>
      </c>
      <c r="D48" s="95"/>
      <c r="E48" s="96">
        <v>4800000</v>
      </c>
      <c r="F48" s="97"/>
      <c r="G48" s="97"/>
      <c r="H48" s="98"/>
      <c r="I48" s="53">
        <v>2932276.8</v>
      </c>
      <c r="J48" s="34">
        <v>0.61</v>
      </c>
      <c r="K48" s="28"/>
      <c r="L48" s="32"/>
      <c r="M48" s="33"/>
    </row>
    <row r="49" spans="1:13" ht="13.5" hidden="1">
      <c r="A49" s="28"/>
      <c r="B49" s="28"/>
      <c r="C49" s="99" t="s">
        <v>32</v>
      </c>
      <c r="D49" s="99"/>
      <c r="E49" s="96">
        <v>1872438</v>
      </c>
      <c r="F49" s="97"/>
      <c r="G49" s="97"/>
      <c r="H49" s="98"/>
      <c r="I49" s="53">
        <v>1646882.12</v>
      </c>
      <c r="J49" s="34">
        <v>0.88</v>
      </c>
      <c r="K49" s="28"/>
      <c r="L49" s="32"/>
      <c r="M49" s="33"/>
    </row>
    <row r="50" spans="1:13" ht="13.5" hidden="1">
      <c r="A50" s="28"/>
      <c r="B50" s="28"/>
      <c r="C50" s="36"/>
      <c r="D50" s="36"/>
      <c r="E50" s="36"/>
      <c r="F50" s="36"/>
      <c r="G50" s="36"/>
      <c r="H50" s="37"/>
      <c r="I50" s="38"/>
      <c r="J50" s="39"/>
      <c r="K50" s="32"/>
      <c r="L50" s="32"/>
      <c r="M50" s="35"/>
    </row>
    <row r="51" spans="1:13" ht="16.5" hidden="1">
      <c r="A51" s="28"/>
      <c r="B51" s="40"/>
      <c r="C51" s="90" t="s">
        <v>5</v>
      </c>
      <c r="D51" s="90"/>
      <c r="E51" s="41"/>
      <c r="F51" s="42"/>
      <c r="G51" s="42"/>
      <c r="H51" s="42" t="s">
        <v>28</v>
      </c>
      <c r="I51" s="43"/>
      <c r="J51" s="91" t="s">
        <v>29</v>
      </c>
      <c r="K51" s="91"/>
      <c r="L51" s="91"/>
      <c r="M51" s="44"/>
    </row>
    <row r="52" spans="1:13" ht="16.5" hidden="1">
      <c r="A52" s="28"/>
      <c r="B52" s="40"/>
      <c r="C52" s="45"/>
      <c r="D52" s="57"/>
      <c r="E52" s="41"/>
      <c r="F52" s="42"/>
      <c r="G52" s="42"/>
      <c r="H52" s="46"/>
      <c r="I52" s="43"/>
      <c r="J52" s="47"/>
      <c r="K52" s="47"/>
      <c r="L52" s="48"/>
      <c r="M52" s="44"/>
    </row>
    <row r="53" spans="1:13" ht="16.5" hidden="1">
      <c r="A53" s="28"/>
      <c r="B53" s="49"/>
      <c r="C53" s="90" t="s">
        <v>30</v>
      </c>
      <c r="D53" s="90"/>
      <c r="E53" s="41"/>
      <c r="F53" s="42"/>
      <c r="G53" s="42"/>
      <c r="H53" s="42" t="s">
        <v>38</v>
      </c>
      <c r="I53" s="43"/>
      <c r="J53" s="91" t="s">
        <v>39</v>
      </c>
      <c r="K53" s="91"/>
      <c r="L53" s="91"/>
      <c r="M53" s="20"/>
    </row>
    <row r="54" spans="1:13" ht="16.5" hidden="1">
      <c r="A54" s="28"/>
      <c r="B54" s="49"/>
      <c r="C54" s="92" t="s">
        <v>40</v>
      </c>
      <c r="D54" s="93"/>
      <c r="E54" s="41"/>
      <c r="F54" s="50"/>
      <c r="G54" s="50"/>
      <c r="H54" s="50" t="s">
        <v>36</v>
      </c>
      <c r="I54" s="43"/>
      <c r="J54" s="94" t="s">
        <v>37</v>
      </c>
      <c r="K54" s="94"/>
      <c r="L54" s="94"/>
      <c r="M54" s="27"/>
    </row>
    <row r="55" spans="2:13" ht="15.75" hidden="1">
      <c r="B55" s="58" t="s">
        <v>34</v>
      </c>
      <c r="C55" s="51"/>
      <c r="D55" s="51"/>
      <c r="E55" s="51"/>
      <c r="F55" s="52"/>
      <c r="G55" s="52"/>
      <c r="H55" s="30"/>
      <c r="I55" s="51"/>
      <c r="J55" s="52"/>
      <c r="K55" s="51"/>
      <c r="L55" s="51"/>
      <c r="M55" s="27"/>
    </row>
    <row r="56" spans="2:13" ht="15.75" hidden="1">
      <c r="B56" s="109" t="s">
        <v>26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2:13" ht="9.75" customHeight="1" hidden="1">
      <c r="B57" s="7"/>
      <c r="C57" s="5"/>
      <c r="D57" s="5"/>
      <c r="E57" s="5"/>
      <c r="F57" s="5"/>
      <c r="G57" s="5"/>
      <c r="H57" s="19"/>
      <c r="I57" s="5"/>
      <c r="J57" s="5"/>
      <c r="K57" s="5"/>
      <c r="L57" s="5"/>
      <c r="M57" s="19"/>
    </row>
    <row r="58" spans="2:13" ht="15.75" hidden="1">
      <c r="B58" s="109" t="s">
        <v>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2:13" ht="16.5" hidden="1">
      <c r="B59" s="110" t="s">
        <v>41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2:13" ht="16.5" hidden="1">
      <c r="B60" s="111" t="s">
        <v>69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</row>
    <row r="61" spans="2:13" ht="15.75" hidden="1">
      <c r="B61" s="3" t="s">
        <v>15</v>
      </c>
      <c r="C61" s="4"/>
      <c r="D61" s="4"/>
      <c r="E61" s="4"/>
      <c r="F61" s="4"/>
      <c r="G61" s="4"/>
      <c r="H61" s="6"/>
      <c r="I61" s="4"/>
      <c r="J61" s="4"/>
      <c r="K61" s="4"/>
      <c r="L61" s="4"/>
      <c r="M61" s="6"/>
    </row>
    <row r="62" spans="3:12" ht="13.5" hidden="1">
      <c r="C62" s="2"/>
      <c r="D62" s="112" t="s">
        <v>1</v>
      </c>
      <c r="E62" s="112"/>
      <c r="F62" s="113"/>
      <c r="G62" s="113"/>
      <c r="H62" s="113"/>
      <c r="I62" s="112" t="s">
        <v>2</v>
      </c>
      <c r="J62" s="112"/>
      <c r="K62" s="112"/>
      <c r="L62" s="112"/>
    </row>
    <row r="63" spans="2:13" ht="23.25" customHeight="1" hidden="1">
      <c r="B63" s="106" t="s">
        <v>8</v>
      </c>
      <c r="C63" s="108" t="s">
        <v>12</v>
      </c>
      <c r="D63" s="108" t="s">
        <v>13</v>
      </c>
      <c r="E63" s="108" t="s">
        <v>16</v>
      </c>
      <c r="F63" s="100" t="s">
        <v>14</v>
      </c>
      <c r="G63" s="60"/>
      <c r="H63" s="100" t="s">
        <v>0</v>
      </c>
      <c r="I63" s="100" t="s">
        <v>22</v>
      </c>
      <c r="J63" s="100" t="s">
        <v>23</v>
      </c>
      <c r="K63" s="100" t="s">
        <v>24</v>
      </c>
      <c r="L63" s="100" t="s">
        <v>25</v>
      </c>
      <c r="M63" s="62" t="s">
        <v>9</v>
      </c>
    </row>
    <row r="64" spans="2:13" ht="32.25" customHeight="1" hidden="1">
      <c r="B64" s="107"/>
      <c r="C64" s="108"/>
      <c r="D64" s="108"/>
      <c r="E64" s="108"/>
      <c r="F64" s="100"/>
      <c r="G64" s="60"/>
      <c r="H64" s="100"/>
      <c r="I64" s="100"/>
      <c r="J64" s="100"/>
      <c r="K64" s="100"/>
      <c r="L64" s="100"/>
      <c r="M64" s="1" t="s">
        <v>10</v>
      </c>
    </row>
    <row r="65" spans="2:13" ht="13.5" hidden="1">
      <c r="B65" s="8" t="s">
        <v>35</v>
      </c>
      <c r="C65" s="9">
        <f>SUM(C66:C71)</f>
        <v>10569638.75</v>
      </c>
      <c r="D65" s="9">
        <f>SUM(D66:D71)</f>
        <v>7876724.93</v>
      </c>
      <c r="E65" s="9">
        <f>SUM(E66:E71)</f>
        <v>566.74</v>
      </c>
      <c r="F65" s="9">
        <f>SUM(F66:F71)</f>
        <v>5822982.81</v>
      </c>
      <c r="G65" s="9">
        <f>D65+E65-F65</f>
        <v>2054308.8600000003</v>
      </c>
      <c r="H65" s="21">
        <f>F65/(D65+E65)</f>
        <v>0.7392112738666688</v>
      </c>
      <c r="I65" s="9">
        <f>SUM(I66:I71)</f>
        <v>2047103.02</v>
      </c>
      <c r="J65" s="9">
        <f>SUM(J66:J71)</f>
        <v>20255.28</v>
      </c>
      <c r="K65" s="9">
        <f>SUM(K66:K71)</f>
        <v>12580</v>
      </c>
      <c r="L65" s="9">
        <f>I65+J65-K65</f>
        <v>2054778.3</v>
      </c>
      <c r="M65" s="25">
        <f>F65/C65</f>
        <v>0.5509159724120183</v>
      </c>
    </row>
    <row r="66" spans="2:13" ht="15.75" customHeight="1" hidden="1">
      <c r="B66" s="11" t="s">
        <v>17</v>
      </c>
      <c r="C66" s="12">
        <v>3522582.85</v>
      </c>
      <c r="D66" s="12">
        <v>3417835.12</v>
      </c>
      <c r="E66" s="12">
        <v>566.74</v>
      </c>
      <c r="F66" s="12">
        <v>5822982.81</v>
      </c>
      <c r="G66" s="12">
        <f>D66+E66-F66</f>
        <v>-2404580.9499999993</v>
      </c>
      <c r="H66" s="21"/>
      <c r="I66" s="12">
        <f>267269.27+1779833.75</f>
        <v>2047103.02</v>
      </c>
      <c r="J66" s="12">
        <f>4006+16249.28</f>
        <v>20255.28</v>
      </c>
      <c r="K66" s="12">
        <v>12580</v>
      </c>
      <c r="L66" s="10">
        <f>I66+J66-K66</f>
        <v>2054778.3</v>
      </c>
      <c r="M66" s="23"/>
    </row>
    <row r="67" spans="2:13" ht="13.5" hidden="1">
      <c r="B67" s="11" t="s">
        <v>18</v>
      </c>
      <c r="C67" s="12">
        <v>6347999.9</v>
      </c>
      <c r="D67" s="12">
        <v>3670749.4</v>
      </c>
      <c r="E67" s="12">
        <v>0</v>
      </c>
      <c r="F67" s="12">
        <v>0</v>
      </c>
      <c r="G67" s="12">
        <f aca="true" t="shared" si="7" ref="G67:G99">D67+E67-F67</f>
        <v>3670749.4</v>
      </c>
      <c r="H67" s="21"/>
      <c r="I67" s="12">
        <v>0</v>
      </c>
      <c r="J67" s="12">
        <v>0</v>
      </c>
      <c r="K67" s="12">
        <v>0</v>
      </c>
      <c r="L67" s="10">
        <v>0</v>
      </c>
      <c r="M67" s="23"/>
    </row>
    <row r="68" spans="2:13" ht="13.5" hidden="1">
      <c r="B68" s="11" t="s">
        <v>19</v>
      </c>
      <c r="C68" s="12">
        <v>696356</v>
      </c>
      <c r="D68" s="12">
        <v>788140.41</v>
      </c>
      <c r="E68" s="12">
        <v>0</v>
      </c>
      <c r="F68" s="12">
        <v>0</v>
      </c>
      <c r="G68" s="12">
        <f t="shared" si="7"/>
        <v>788140.41</v>
      </c>
      <c r="H68" s="21"/>
      <c r="I68" s="12">
        <v>0</v>
      </c>
      <c r="J68" s="12">
        <v>0</v>
      </c>
      <c r="K68" s="12">
        <v>0</v>
      </c>
      <c r="L68" s="10">
        <v>0</v>
      </c>
      <c r="M68" s="23"/>
    </row>
    <row r="69" spans="2:13" ht="13.5" hidden="1">
      <c r="B69" s="11" t="s">
        <v>20</v>
      </c>
      <c r="C69" s="12">
        <v>0</v>
      </c>
      <c r="D69" s="12">
        <v>0</v>
      </c>
      <c r="E69" s="12">
        <v>0</v>
      </c>
      <c r="F69" s="12">
        <v>0</v>
      </c>
      <c r="G69" s="12">
        <f t="shared" si="7"/>
        <v>0</v>
      </c>
      <c r="H69" s="21"/>
      <c r="I69" s="12">
        <v>0</v>
      </c>
      <c r="J69" s="12">
        <v>0</v>
      </c>
      <c r="K69" s="12">
        <v>0</v>
      </c>
      <c r="L69" s="10">
        <v>0</v>
      </c>
      <c r="M69" s="23"/>
    </row>
    <row r="70" spans="2:13" ht="15.75" customHeight="1" hidden="1">
      <c r="B70" s="11" t="s">
        <v>21</v>
      </c>
      <c r="C70" s="12">
        <v>0</v>
      </c>
      <c r="D70" s="12">
        <v>0</v>
      </c>
      <c r="E70" s="12">
        <v>0</v>
      </c>
      <c r="F70" s="12">
        <v>0</v>
      </c>
      <c r="G70" s="12">
        <f t="shared" si="7"/>
        <v>0</v>
      </c>
      <c r="H70" s="21"/>
      <c r="I70" s="12">
        <v>0</v>
      </c>
      <c r="J70" s="12">
        <v>0</v>
      </c>
      <c r="K70" s="12">
        <v>0</v>
      </c>
      <c r="L70" s="10">
        <v>0</v>
      </c>
      <c r="M70" s="23"/>
    </row>
    <row r="71" spans="2:13" ht="13.5" hidden="1">
      <c r="B71" s="11" t="s">
        <v>51</v>
      </c>
      <c r="C71" s="12">
        <v>2700</v>
      </c>
      <c r="D71" s="12">
        <v>0</v>
      </c>
      <c r="E71" s="12">
        <v>0</v>
      </c>
      <c r="F71" s="12">
        <v>0</v>
      </c>
      <c r="G71" s="12">
        <f t="shared" si="7"/>
        <v>0</v>
      </c>
      <c r="H71" s="21"/>
      <c r="I71" s="12">
        <v>0</v>
      </c>
      <c r="J71" s="12">
        <v>0</v>
      </c>
      <c r="K71" s="12">
        <v>0</v>
      </c>
      <c r="L71" s="10">
        <v>0</v>
      </c>
      <c r="M71" s="23"/>
    </row>
    <row r="72" spans="2:13" ht="15.75" customHeight="1" hidden="1">
      <c r="B72" s="8" t="s">
        <v>27</v>
      </c>
      <c r="C72" s="9">
        <f>SUM(C73:C85)</f>
        <v>79745401.78</v>
      </c>
      <c r="D72" s="9">
        <f aca="true" t="shared" si="8" ref="D72:I72">SUM(D73:D85)</f>
        <v>56972581.690000005</v>
      </c>
      <c r="E72" s="9">
        <f t="shared" si="8"/>
        <v>0.32</v>
      </c>
      <c r="F72" s="9">
        <f t="shared" si="8"/>
        <v>35083063.08</v>
      </c>
      <c r="G72" s="9">
        <f t="shared" si="8"/>
        <v>21889518.930000003</v>
      </c>
      <c r="H72" s="21"/>
      <c r="I72" s="9">
        <f t="shared" si="8"/>
        <v>21598960.64</v>
      </c>
      <c r="J72" s="9">
        <f>SUM(J73:J85)</f>
        <v>571963.67</v>
      </c>
      <c r="K72" s="9">
        <f>SUM(K73:K85)</f>
        <v>281405.24</v>
      </c>
      <c r="L72" s="9">
        <f>SUM(L73:L85)</f>
        <v>21889519.070000004</v>
      </c>
      <c r="M72" s="25"/>
    </row>
    <row r="73" spans="2:13" ht="13.5" hidden="1">
      <c r="B73" s="11" t="s">
        <v>54</v>
      </c>
      <c r="C73" s="12">
        <v>26444293</v>
      </c>
      <c r="D73" s="12">
        <v>15933296.05</v>
      </c>
      <c r="E73" s="12">
        <v>0</v>
      </c>
      <c r="F73" s="12">
        <v>15756334.09</v>
      </c>
      <c r="G73" s="12">
        <f>D73+E73-F73</f>
        <v>176961.9600000009</v>
      </c>
      <c r="H73" s="21">
        <f aca="true" t="shared" si="9" ref="H73:H84">F73/(D73+E73)</f>
        <v>0.9888935748482499</v>
      </c>
      <c r="I73" s="12">
        <v>344348.26</v>
      </c>
      <c r="J73" s="12">
        <f>1322.56</f>
        <v>1322.56</v>
      </c>
      <c r="K73" s="12">
        <f>168566.93+142</f>
        <v>168708.93</v>
      </c>
      <c r="L73" s="10">
        <f aca="true" t="shared" si="10" ref="L73:L84">I73+J73-K73</f>
        <v>176961.89</v>
      </c>
      <c r="M73" s="25">
        <f>F73/C73</f>
        <v>0.5958311719659134</v>
      </c>
    </row>
    <row r="74" spans="2:13" ht="15.75" customHeight="1" hidden="1">
      <c r="B74" s="11" t="s">
        <v>55</v>
      </c>
      <c r="C74" s="12">
        <v>12591512</v>
      </c>
      <c r="D74" s="12">
        <v>10073209.6</v>
      </c>
      <c r="E74" s="12">
        <v>0.31</v>
      </c>
      <c r="F74" s="12">
        <v>968894.21</v>
      </c>
      <c r="G74" s="12">
        <f t="shared" si="7"/>
        <v>9104315.7</v>
      </c>
      <c r="H74" s="21">
        <f t="shared" si="9"/>
        <v>0.09618524965295794</v>
      </c>
      <c r="I74" s="12">
        <v>9116844.51</v>
      </c>
      <c r="J74" s="12">
        <v>0</v>
      </c>
      <c r="K74" s="12">
        <f>4176.27+8352.54</f>
        <v>12528.810000000001</v>
      </c>
      <c r="L74" s="10">
        <f t="shared" si="10"/>
        <v>9104315.7</v>
      </c>
      <c r="M74" s="25">
        <f aca="true" t="shared" si="11" ref="M74:M82">F74/C74</f>
        <v>0.07694820209042409</v>
      </c>
    </row>
    <row r="75" spans="2:13" ht="13.5" hidden="1">
      <c r="B75" s="11" t="s">
        <v>56</v>
      </c>
      <c r="C75" s="12">
        <v>25407614</v>
      </c>
      <c r="D75" s="12">
        <v>16938409.6</v>
      </c>
      <c r="E75" s="12">
        <v>0</v>
      </c>
      <c r="F75" s="12">
        <v>14256653.49</v>
      </c>
      <c r="G75" s="12">
        <f t="shared" si="7"/>
        <v>2681756.1100000013</v>
      </c>
      <c r="H75" s="21">
        <f t="shared" si="9"/>
        <v>0.841676038463493</v>
      </c>
      <c r="I75" s="12">
        <v>2777096.5</v>
      </c>
      <c r="J75" s="12">
        <f>200+701.8</f>
        <v>901.8</v>
      </c>
      <c r="K75" s="12">
        <f>22118+74124</f>
        <v>96242</v>
      </c>
      <c r="L75" s="10">
        <f t="shared" si="10"/>
        <v>2681756.3</v>
      </c>
      <c r="M75" s="25">
        <f t="shared" si="11"/>
        <v>0.5611173678095078</v>
      </c>
    </row>
    <row r="76" spans="2:13" ht="15.75" customHeight="1" hidden="1">
      <c r="B76" s="11" t="s">
        <v>57</v>
      </c>
      <c r="C76" s="12">
        <v>1057470</v>
      </c>
      <c r="D76" s="12">
        <v>607816.39</v>
      </c>
      <c r="E76" s="12">
        <v>0</v>
      </c>
      <c r="F76" s="12">
        <v>0</v>
      </c>
      <c r="G76" s="12">
        <f t="shared" si="7"/>
        <v>607816.39</v>
      </c>
      <c r="H76" s="21">
        <f t="shared" si="9"/>
        <v>0</v>
      </c>
      <c r="I76" s="12">
        <v>607816.39</v>
      </c>
      <c r="J76" s="12">
        <v>0</v>
      </c>
      <c r="K76" s="12">
        <v>0</v>
      </c>
      <c r="L76" s="10">
        <f t="shared" si="10"/>
        <v>607816.39</v>
      </c>
      <c r="M76" s="25">
        <f t="shared" si="11"/>
        <v>0</v>
      </c>
    </row>
    <row r="77" spans="2:13" ht="13.5" hidden="1">
      <c r="B77" s="11" t="s">
        <v>58</v>
      </c>
      <c r="C77" s="12">
        <v>12329603</v>
      </c>
      <c r="D77" s="12">
        <v>8299841.56</v>
      </c>
      <c r="E77" s="12">
        <v>0.01</v>
      </c>
      <c r="F77" s="12">
        <v>3641478.6</v>
      </c>
      <c r="G77" s="12">
        <f>D77+E77-F77</f>
        <v>4658362.969999999</v>
      </c>
      <c r="H77" s="21">
        <f t="shared" si="9"/>
        <v>0.4387407361078099</v>
      </c>
      <c r="I77" s="12">
        <v>4584238.99</v>
      </c>
      <c r="J77" s="12">
        <v>74124</v>
      </c>
      <c r="K77" s="12"/>
      <c r="L77" s="10">
        <f t="shared" si="10"/>
        <v>4658362.99</v>
      </c>
      <c r="M77" s="25">
        <f t="shared" si="11"/>
        <v>0.2953443513144746</v>
      </c>
    </row>
    <row r="78" spans="2:13" ht="15.75" customHeight="1" hidden="1">
      <c r="B78" s="11" t="s">
        <v>59</v>
      </c>
      <c r="C78" s="12">
        <v>1167126</v>
      </c>
      <c r="D78" s="12">
        <v>542636.33</v>
      </c>
      <c r="E78" s="12">
        <v>0</v>
      </c>
      <c r="F78" s="12">
        <v>22541.12</v>
      </c>
      <c r="G78" s="12">
        <f t="shared" si="7"/>
        <v>520095.20999999996</v>
      </c>
      <c r="H78" s="21">
        <f t="shared" si="9"/>
        <v>0.04154001262687296</v>
      </c>
      <c r="I78" s="12">
        <v>520095.21</v>
      </c>
      <c r="J78" s="12">
        <v>0</v>
      </c>
      <c r="K78" s="12">
        <v>0</v>
      </c>
      <c r="L78" s="10">
        <f t="shared" si="10"/>
        <v>520095.21</v>
      </c>
      <c r="M78" s="25">
        <f t="shared" si="11"/>
        <v>0.019313356055815738</v>
      </c>
    </row>
    <row r="79" spans="2:13" ht="13.5" hidden="1">
      <c r="B79" s="11" t="s">
        <v>60</v>
      </c>
      <c r="C79" s="12">
        <v>161698</v>
      </c>
      <c r="D79" s="12">
        <v>186639.31</v>
      </c>
      <c r="E79" s="12">
        <v>0</v>
      </c>
      <c r="F79" s="12">
        <v>0</v>
      </c>
      <c r="G79" s="12">
        <f t="shared" si="7"/>
        <v>186639.31</v>
      </c>
      <c r="H79" s="21">
        <f t="shared" si="9"/>
        <v>0</v>
      </c>
      <c r="I79" s="12">
        <v>186639.31</v>
      </c>
      <c r="J79" s="12">
        <v>0</v>
      </c>
      <c r="K79" s="12">
        <v>0</v>
      </c>
      <c r="L79" s="10">
        <f t="shared" si="10"/>
        <v>186639.31</v>
      </c>
      <c r="M79" s="25">
        <f t="shared" si="11"/>
        <v>0</v>
      </c>
    </row>
    <row r="80" spans="2:13" ht="13.5" hidden="1">
      <c r="B80" s="11" t="s">
        <v>61</v>
      </c>
      <c r="C80" s="12">
        <v>44192</v>
      </c>
      <c r="D80" s="12">
        <v>29461.08</v>
      </c>
      <c r="E80" s="12">
        <v>0</v>
      </c>
      <c r="F80" s="12">
        <v>20868</v>
      </c>
      <c r="G80" s="12">
        <f t="shared" si="7"/>
        <v>8593.080000000002</v>
      </c>
      <c r="H80" s="21">
        <f t="shared" si="9"/>
        <v>0.7083243384152923</v>
      </c>
      <c r="I80" s="12">
        <v>8593.08</v>
      </c>
      <c r="J80" s="12">
        <v>0</v>
      </c>
      <c r="K80" s="12">
        <v>0</v>
      </c>
      <c r="L80" s="10">
        <f t="shared" si="10"/>
        <v>8593.08</v>
      </c>
      <c r="M80" s="25">
        <f t="shared" si="11"/>
        <v>0.47221216509775527</v>
      </c>
    </row>
    <row r="81" spans="2:13" ht="13.5" hidden="1">
      <c r="B81" s="11" t="s">
        <v>62</v>
      </c>
      <c r="C81" s="12">
        <v>439401</v>
      </c>
      <c r="D81" s="12">
        <v>274401.14</v>
      </c>
      <c r="E81" s="12">
        <v>0</v>
      </c>
      <c r="F81" s="12">
        <v>0</v>
      </c>
      <c r="G81" s="12">
        <f t="shared" si="7"/>
        <v>274401.14</v>
      </c>
      <c r="H81" s="21">
        <f t="shared" si="9"/>
        <v>0</v>
      </c>
      <c r="I81" s="12">
        <v>274401.14</v>
      </c>
      <c r="J81" s="12">
        <v>0</v>
      </c>
      <c r="K81" s="12">
        <v>0</v>
      </c>
      <c r="L81" s="10">
        <f t="shared" si="10"/>
        <v>274401.14</v>
      </c>
      <c r="M81" s="25">
        <f t="shared" si="11"/>
        <v>0</v>
      </c>
    </row>
    <row r="82" spans="2:13" ht="13.5" hidden="1">
      <c r="B82" s="11" t="s">
        <v>63</v>
      </c>
      <c r="C82" s="12">
        <v>102492.78</v>
      </c>
      <c r="D82" s="12">
        <v>102492.78</v>
      </c>
      <c r="E82" s="12">
        <v>0</v>
      </c>
      <c r="F82" s="12">
        <v>0</v>
      </c>
      <c r="G82" s="12">
        <f t="shared" si="7"/>
        <v>102492.78</v>
      </c>
      <c r="H82" s="21">
        <f t="shared" si="9"/>
        <v>0</v>
      </c>
      <c r="I82" s="12">
        <v>102492.78</v>
      </c>
      <c r="J82" s="12">
        <v>0</v>
      </c>
      <c r="K82" s="12">
        <v>0</v>
      </c>
      <c r="L82" s="10">
        <f t="shared" si="10"/>
        <v>102492.78</v>
      </c>
      <c r="M82" s="25">
        <f t="shared" si="11"/>
        <v>0</v>
      </c>
    </row>
    <row r="83" spans="2:13" ht="13.5" hidden="1">
      <c r="B83" s="11" t="s">
        <v>65</v>
      </c>
      <c r="C83" s="12">
        <v>0</v>
      </c>
      <c r="D83" s="12">
        <v>1764260</v>
      </c>
      <c r="E83" s="12"/>
      <c r="F83" s="12">
        <v>112722</v>
      </c>
      <c r="G83" s="12">
        <f t="shared" si="7"/>
        <v>1651538</v>
      </c>
      <c r="H83" s="21">
        <f t="shared" si="9"/>
        <v>0.06389194336435673</v>
      </c>
      <c r="I83" s="12">
        <v>1651538</v>
      </c>
      <c r="J83" s="12">
        <v>0</v>
      </c>
      <c r="K83" s="12">
        <v>0</v>
      </c>
      <c r="L83" s="10">
        <f t="shared" si="10"/>
        <v>1651538</v>
      </c>
      <c r="M83" s="25">
        <v>0</v>
      </c>
    </row>
    <row r="84" spans="2:13" ht="13.5" hidden="1">
      <c r="B84" s="11" t="s">
        <v>67</v>
      </c>
      <c r="C84" s="12">
        <v>0</v>
      </c>
      <c r="D84" s="12">
        <v>1110591</v>
      </c>
      <c r="E84" s="12">
        <v>0</v>
      </c>
      <c r="F84" s="12">
        <v>303571.57</v>
      </c>
      <c r="G84" s="12">
        <f t="shared" si="7"/>
        <v>807019.4299999999</v>
      </c>
      <c r="H84" s="21">
        <f t="shared" si="9"/>
        <v>0.2733423645608509</v>
      </c>
      <c r="I84" s="12">
        <v>315561.62</v>
      </c>
      <c r="J84" s="12">
        <v>495383.31</v>
      </c>
      <c r="K84" s="12">
        <f>1308.5+2617</f>
        <v>3925.5</v>
      </c>
      <c r="L84" s="10">
        <f t="shared" si="10"/>
        <v>807019.4299999999</v>
      </c>
      <c r="M84" s="25">
        <v>0</v>
      </c>
    </row>
    <row r="85" spans="2:16" ht="13.5" hidden="1">
      <c r="B85" s="11" t="s">
        <v>70</v>
      </c>
      <c r="C85" s="12"/>
      <c r="D85" s="12">
        <v>1109526.85</v>
      </c>
      <c r="E85" s="12"/>
      <c r="F85" s="12">
        <v>0</v>
      </c>
      <c r="G85" s="12">
        <f t="shared" si="7"/>
        <v>1109526.85</v>
      </c>
      <c r="H85" s="21"/>
      <c r="I85" s="12">
        <v>1109294.85</v>
      </c>
      <c r="J85" s="12">
        <v>232</v>
      </c>
      <c r="K85" s="12">
        <v>0</v>
      </c>
      <c r="L85" s="10">
        <f>I85+J85-K85</f>
        <v>1109526.85</v>
      </c>
      <c r="M85" s="25">
        <v>0</v>
      </c>
      <c r="P85" s="17"/>
    </row>
    <row r="86" spans="2:13" ht="13.5" hidden="1">
      <c r="B86" s="8" t="s">
        <v>33</v>
      </c>
      <c r="C86" s="9">
        <f>SUM(C87:C97)</f>
        <v>6584416.71</v>
      </c>
      <c r="D86" s="9">
        <f>SUM(D87:D97)</f>
        <v>131433.9</v>
      </c>
      <c r="E86" s="9">
        <f>SUM(E87:E98)</f>
        <v>2364.58</v>
      </c>
      <c r="F86" s="9">
        <f>SUM(F87:F98)</f>
        <v>6377917.33</v>
      </c>
      <c r="G86" s="9">
        <f t="shared" si="7"/>
        <v>-6244118.85</v>
      </c>
      <c r="H86" s="22"/>
      <c r="I86" s="9">
        <f>SUM(I87:I98)</f>
        <v>714438.86</v>
      </c>
      <c r="J86" s="9">
        <f>SUM(J87:J98)</f>
        <v>18722.3</v>
      </c>
      <c r="K86" s="9">
        <f>SUM(K87:K98)</f>
        <v>1051911.61</v>
      </c>
      <c r="L86" s="9">
        <f>SUM(L87:L98)</f>
        <v>172267.18</v>
      </c>
      <c r="M86" s="23"/>
    </row>
    <row r="87" spans="2:13" ht="13.5" hidden="1">
      <c r="B87" s="11" t="s">
        <v>42</v>
      </c>
      <c r="C87" s="12">
        <v>160009.44</v>
      </c>
      <c r="D87" s="12">
        <v>122861.9</v>
      </c>
      <c r="E87" s="12">
        <v>105.05</v>
      </c>
      <c r="F87" s="12">
        <v>152995.34</v>
      </c>
      <c r="G87" s="12">
        <f t="shared" si="7"/>
        <v>-30028.39</v>
      </c>
      <c r="H87" s="24"/>
      <c r="I87" s="12">
        <v>35486.71</v>
      </c>
      <c r="J87" s="12">
        <v>0</v>
      </c>
      <c r="K87" s="12">
        <v>0</v>
      </c>
      <c r="L87" s="10">
        <v>0</v>
      </c>
      <c r="M87" s="23">
        <f aca="true" t="shared" si="12" ref="M87:M97">F87/C87</f>
        <v>0.9561644612967835</v>
      </c>
    </row>
    <row r="88" spans="2:13" ht="13.5" hidden="1">
      <c r="B88" s="11" t="s">
        <v>43</v>
      </c>
      <c r="C88" s="12">
        <v>439871.16</v>
      </c>
      <c r="D88" s="12">
        <v>0</v>
      </c>
      <c r="E88" s="12">
        <v>71.41</v>
      </c>
      <c r="F88" s="12">
        <v>439871.16</v>
      </c>
      <c r="G88" s="12">
        <f t="shared" si="7"/>
        <v>-439799.75</v>
      </c>
      <c r="H88" s="24"/>
      <c r="I88" s="12">
        <v>0</v>
      </c>
      <c r="J88" s="12">
        <f>5800+1368.8</f>
        <v>7168.8</v>
      </c>
      <c r="K88" s="12">
        <v>0</v>
      </c>
      <c r="L88" s="10">
        <f aca="true" t="shared" si="13" ref="L88:L97">I88+J88-K88</f>
        <v>7168.8</v>
      </c>
      <c r="M88" s="23">
        <f t="shared" si="12"/>
        <v>1</v>
      </c>
    </row>
    <row r="89" spans="2:16" ht="13.5" hidden="1">
      <c r="B89" s="11" t="s">
        <v>44</v>
      </c>
      <c r="C89" s="12">
        <v>354507.28</v>
      </c>
      <c r="D89" s="12">
        <v>8572</v>
      </c>
      <c r="E89" s="12">
        <v>81.07</v>
      </c>
      <c r="F89" s="12">
        <v>354588.35</v>
      </c>
      <c r="G89" s="12">
        <f t="shared" si="7"/>
        <v>-345935.27999999997</v>
      </c>
      <c r="H89" s="24"/>
      <c r="I89" s="12">
        <v>0</v>
      </c>
      <c r="J89" s="12">
        <v>0</v>
      </c>
      <c r="K89" s="12">
        <v>0</v>
      </c>
      <c r="L89" s="10">
        <f t="shared" si="13"/>
        <v>0</v>
      </c>
      <c r="M89" s="23">
        <f t="shared" si="12"/>
        <v>1.0002286835971321</v>
      </c>
      <c r="P89" s="17"/>
    </row>
    <row r="90" spans="2:13" ht="13.5" hidden="1">
      <c r="B90" s="11" t="s">
        <v>45</v>
      </c>
      <c r="C90" s="12">
        <v>1002913.77</v>
      </c>
      <c r="D90" s="12">
        <v>0</v>
      </c>
      <c r="E90" s="12">
        <v>384.78</v>
      </c>
      <c r="F90" s="12">
        <v>1002913.77</v>
      </c>
      <c r="G90" s="12">
        <f t="shared" si="7"/>
        <v>-1002528.99</v>
      </c>
      <c r="H90" s="24"/>
      <c r="I90" s="12">
        <v>0</v>
      </c>
      <c r="J90" s="12">
        <v>0</v>
      </c>
      <c r="K90" s="12">
        <v>0</v>
      </c>
      <c r="L90" s="10">
        <f t="shared" si="13"/>
        <v>0</v>
      </c>
      <c r="M90" s="23">
        <f t="shared" si="12"/>
        <v>1</v>
      </c>
    </row>
    <row r="91" spans="2:13" ht="15.75" customHeight="1" hidden="1">
      <c r="B91" s="11" t="s">
        <v>46</v>
      </c>
      <c r="C91" s="12">
        <v>41804.34</v>
      </c>
      <c r="D91" s="12">
        <v>0</v>
      </c>
      <c r="E91" s="12">
        <v>8.51</v>
      </c>
      <c r="F91" s="12">
        <v>41811.06</v>
      </c>
      <c r="G91" s="12">
        <f t="shared" si="7"/>
        <v>-41802.549999999996</v>
      </c>
      <c r="H91" s="24"/>
      <c r="I91" s="12">
        <v>0</v>
      </c>
      <c r="J91" s="12">
        <v>0</v>
      </c>
      <c r="K91" s="12">
        <v>0</v>
      </c>
      <c r="L91" s="10">
        <f t="shared" si="13"/>
        <v>0</v>
      </c>
      <c r="M91" s="23">
        <f t="shared" si="12"/>
        <v>1.0001607488600466</v>
      </c>
    </row>
    <row r="92" spans="2:13" ht="13.5" hidden="1">
      <c r="B92" s="11" t="s">
        <v>47</v>
      </c>
      <c r="C92" s="12">
        <v>92195.51</v>
      </c>
      <c r="D92" s="12">
        <v>0</v>
      </c>
      <c r="E92" s="12">
        <v>6.49</v>
      </c>
      <c r="F92" s="12">
        <v>92195.51</v>
      </c>
      <c r="G92" s="12">
        <f t="shared" si="7"/>
        <v>-92189.01999999999</v>
      </c>
      <c r="H92" s="24"/>
      <c r="I92" s="12">
        <v>0</v>
      </c>
      <c r="J92" s="12">
        <v>0</v>
      </c>
      <c r="K92" s="12">
        <v>0</v>
      </c>
      <c r="L92" s="10">
        <f t="shared" si="13"/>
        <v>0</v>
      </c>
      <c r="M92" s="23">
        <f t="shared" si="12"/>
        <v>1</v>
      </c>
    </row>
    <row r="93" spans="2:13" ht="13.5" hidden="1">
      <c r="B93" s="11" t="s">
        <v>48</v>
      </c>
      <c r="C93" s="12">
        <v>21421.27</v>
      </c>
      <c r="D93" s="12">
        <v>0</v>
      </c>
      <c r="E93" s="12">
        <v>3.02</v>
      </c>
      <c r="F93" s="12">
        <v>21421.27</v>
      </c>
      <c r="G93" s="12">
        <f t="shared" si="7"/>
        <v>-21418.25</v>
      </c>
      <c r="H93" s="24"/>
      <c r="I93" s="12">
        <v>0</v>
      </c>
      <c r="J93" s="12">
        <v>0</v>
      </c>
      <c r="K93" s="12">
        <v>0</v>
      </c>
      <c r="L93" s="10">
        <f t="shared" si="13"/>
        <v>0</v>
      </c>
      <c r="M93" s="23">
        <f t="shared" si="12"/>
        <v>1</v>
      </c>
    </row>
    <row r="94" spans="2:13" ht="13.5" hidden="1">
      <c r="B94" s="11" t="s">
        <v>49</v>
      </c>
      <c r="C94" s="12">
        <v>4228.4</v>
      </c>
      <c r="D94" s="12">
        <v>0</v>
      </c>
      <c r="E94" s="12">
        <v>0</v>
      </c>
      <c r="F94" s="12">
        <v>4228.4</v>
      </c>
      <c r="G94" s="12">
        <f t="shared" si="7"/>
        <v>-4228.4</v>
      </c>
      <c r="H94" s="24"/>
      <c r="I94" s="12">
        <v>0</v>
      </c>
      <c r="J94" s="12">
        <v>0</v>
      </c>
      <c r="K94" s="12">
        <v>0</v>
      </c>
      <c r="L94" s="10">
        <f t="shared" si="13"/>
        <v>0</v>
      </c>
      <c r="M94" s="23">
        <f t="shared" si="12"/>
        <v>1</v>
      </c>
    </row>
    <row r="95" spans="2:13" ht="13.5" hidden="1">
      <c r="B95" s="11" t="s">
        <v>50</v>
      </c>
      <c r="C95" s="12">
        <v>232420.37</v>
      </c>
      <c r="D95" s="12">
        <v>0</v>
      </c>
      <c r="E95" s="12">
        <v>32.89</v>
      </c>
      <c r="F95" s="12">
        <v>232451.37</v>
      </c>
      <c r="G95" s="12">
        <f t="shared" si="7"/>
        <v>-232418.47999999998</v>
      </c>
      <c r="H95" s="24"/>
      <c r="I95" s="12">
        <v>0</v>
      </c>
      <c r="J95" s="12">
        <v>0</v>
      </c>
      <c r="K95" s="12">
        <v>0</v>
      </c>
      <c r="L95" s="10">
        <f t="shared" si="13"/>
        <v>0</v>
      </c>
      <c r="M95" s="23">
        <f t="shared" si="12"/>
        <v>1.000133379014929</v>
      </c>
    </row>
    <row r="96" spans="2:13" ht="13.5" hidden="1">
      <c r="B96" s="11" t="s">
        <v>52</v>
      </c>
      <c r="C96" s="12">
        <v>4072457.96</v>
      </c>
      <c r="D96" s="12">
        <v>0</v>
      </c>
      <c r="E96" s="12">
        <v>0</v>
      </c>
      <c r="F96" s="12">
        <v>4035441.1</v>
      </c>
      <c r="G96" s="12">
        <f t="shared" si="7"/>
        <v>-4035441.1</v>
      </c>
      <c r="H96" s="24"/>
      <c r="I96" s="12">
        <v>0</v>
      </c>
      <c r="J96" s="12">
        <v>0</v>
      </c>
      <c r="K96" s="12">
        <v>0</v>
      </c>
      <c r="L96" s="10">
        <f t="shared" si="13"/>
        <v>0</v>
      </c>
      <c r="M96" s="23">
        <f t="shared" si="12"/>
        <v>0.9909104377838686</v>
      </c>
    </row>
    <row r="97" spans="2:13" ht="13.5" hidden="1">
      <c r="B97" s="11" t="s">
        <v>66</v>
      </c>
      <c r="C97" s="12">
        <f>41574.61+60747.7+60264.9</f>
        <v>162587.21</v>
      </c>
      <c r="D97" s="12">
        <v>0</v>
      </c>
      <c r="E97" s="12">
        <f>222.09+102.04</f>
        <v>324.13</v>
      </c>
      <c r="F97" s="12">
        <v>0</v>
      </c>
      <c r="G97" s="12">
        <f t="shared" si="7"/>
        <v>324.13</v>
      </c>
      <c r="H97" s="24"/>
      <c r="I97" s="12">
        <f>112956.16+463.58+51678.64</f>
        <v>165098.38</v>
      </c>
      <c r="J97" s="12">
        <v>0</v>
      </c>
      <c r="K97" s="12">
        <v>0</v>
      </c>
      <c r="L97" s="10">
        <f t="shared" si="13"/>
        <v>165098.38</v>
      </c>
      <c r="M97" s="23">
        <f t="shared" si="12"/>
        <v>0</v>
      </c>
    </row>
    <row r="98" spans="2:13" ht="13.5" hidden="1">
      <c r="B98" s="11" t="s">
        <v>53</v>
      </c>
      <c r="C98" s="12">
        <v>0</v>
      </c>
      <c r="D98" s="12">
        <v>0</v>
      </c>
      <c r="E98" s="12">
        <f>17.1+481.46+113.73+16.17+180.81+257.08+269.77+11.11</f>
        <v>1347.2299999999998</v>
      </c>
      <c r="F98" s="12">
        <v>0</v>
      </c>
      <c r="G98" s="12">
        <f t="shared" si="7"/>
        <v>1347.2299999999998</v>
      </c>
      <c r="H98" s="24"/>
      <c r="I98" s="12">
        <f>12550.22+244873.98+57844.68+10164.49+91957.89+95836.41+626.1</f>
        <v>513853.77</v>
      </c>
      <c r="J98" s="12">
        <v>11553.5</v>
      </c>
      <c r="K98" s="12">
        <f>148258.24+805263.61+6806.29+91583.36+0.11</f>
        <v>1051911.61</v>
      </c>
      <c r="L98" s="12">
        <v>0</v>
      </c>
      <c r="M98" s="23">
        <v>0</v>
      </c>
    </row>
    <row r="99" spans="2:13" ht="13.5" hidden="1">
      <c r="B99" s="13" t="s">
        <v>7</v>
      </c>
      <c r="C99" s="9">
        <f>C65+C72+C86</f>
        <v>96899457.24</v>
      </c>
      <c r="D99" s="9">
        <f>D65+D72+D86</f>
        <v>64980740.52</v>
      </c>
      <c r="E99" s="9">
        <f>E65+E72+E86</f>
        <v>2931.64</v>
      </c>
      <c r="F99" s="9">
        <f>F65+F72+F86</f>
        <v>47283963.22</v>
      </c>
      <c r="G99" s="9">
        <f t="shared" si="7"/>
        <v>17699708.940000005</v>
      </c>
      <c r="H99" s="22"/>
      <c r="I99" s="9">
        <f>I86+I72+I65</f>
        <v>24360502.52</v>
      </c>
      <c r="J99" s="9">
        <f>J86+J72+J65</f>
        <v>610941.2500000001</v>
      </c>
      <c r="K99" s="9">
        <f>K86+K72+K65</f>
        <v>1345896.85</v>
      </c>
      <c r="L99" s="9">
        <f>L86+L72+L65</f>
        <v>24116564.550000004</v>
      </c>
      <c r="M99" s="26"/>
    </row>
    <row r="100" spans="1:13" ht="12.75" hidden="1">
      <c r="A100" s="28"/>
      <c r="B100" s="28"/>
      <c r="C100" s="29"/>
      <c r="D100" s="101" t="s">
        <v>11</v>
      </c>
      <c r="E100" s="101"/>
      <c r="F100" s="101"/>
      <c r="G100" s="101"/>
      <c r="H100" s="101"/>
      <c r="I100" s="101"/>
      <c r="J100" s="101"/>
      <c r="K100" s="29"/>
      <c r="L100" s="29"/>
      <c r="M100" s="63"/>
    </row>
    <row r="101" spans="1:13" ht="13.5" hidden="1">
      <c r="A101" s="28"/>
      <c r="B101" s="28"/>
      <c r="C101" s="102" t="s">
        <v>3</v>
      </c>
      <c r="D101" s="102"/>
      <c r="E101" s="103" t="s">
        <v>4</v>
      </c>
      <c r="F101" s="104"/>
      <c r="G101" s="104"/>
      <c r="H101" s="105"/>
      <c r="I101" s="61" t="s">
        <v>64</v>
      </c>
      <c r="J101" s="31" t="s">
        <v>0</v>
      </c>
      <c r="K101" s="28"/>
      <c r="L101" s="32"/>
      <c r="M101" s="33"/>
    </row>
    <row r="102" spans="1:13" ht="13.5" hidden="1">
      <c r="A102" s="28"/>
      <c r="B102" s="28"/>
      <c r="C102" s="95" t="s">
        <v>31</v>
      </c>
      <c r="D102" s="95"/>
      <c r="E102" s="96">
        <v>4800000</v>
      </c>
      <c r="F102" s="97"/>
      <c r="G102" s="97"/>
      <c r="H102" s="98"/>
      <c r="I102" s="53">
        <v>3462890.8</v>
      </c>
      <c r="J102" s="34">
        <v>0.72</v>
      </c>
      <c r="K102" s="28"/>
      <c r="L102" s="32"/>
      <c r="M102" s="33"/>
    </row>
    <row r="103" spans="1:13" ht="13.5" hidden="1">
      <c r="A103" s="28"/>
      <c r="B103" s="28"/>
      <c r="C103" s="99" t="s">
        <v>32</v>
      </c>
      <c r="D103" s="99"/>
      <c r="E103" s="96">
        <v>1872438</v>
      </c>
      <c r="F103" s="97"/>
      <c r="G103" s="97"/>
      <c r="H103" s="98"/>
      <c r="I103" s="53">
        <v>1722854.61</v>
      </c>
      <c r="J103" s="34">
        <v>0.92</v>
      </c>
      <c r="K103" s="29"/>
      <c r="L103" s="32"/>
      <c r="M103" s="33"/>
    </row>
    <row r="104" spans="1:13" ht="16.5" hidden="1">
      <c r="A104" s="28"/>
      <c r="B104" s="40"/>
      <c r="C104" s="90" t="s">
        <v>5</v>
      </c>
      <c r="D104" s="90"/>
      <c r="E104" s="41"/>
      <c r="F104" s="42"/>
      <c r="G104" s="42"/>
      <c r="H104" s="42" t="s">
        <v>28</v>
      </c>
      <c r="I104" s="43"/>
      <c r="J104" s="91" t="s">
        <v>29</v>
      </c>
      <c r="K104" s="91"/>
      <c r="L104" s="91"/>
      <c r="M104" s="44"/>
    </row>
    <row r="105" spans="1:13" ht="16.5" hidden="1">
      <c r="A105" s="28"/>
      <c r="B105" s="40"/>
      <c r="C105" s="45"/>
      <c r="D105" s="59"/>
      <c r="E105" s="41"/>
      <c r="F105" s="42"/>
      <c r="G105" s="42"/>
      <c r="H105" s="46"/>
      <c r="I105" s="43"/>
      <c r="J105" s="47"/>
      <c r="K105" s="47"/>
      <c r="L105" s="48"/>
      <c r="M105" s="44"/>
    </row>
    <row r="106" spans="1:13" ht="16.5" hidden="1">
      <c r="A106" s="28"/>
      <c r="B106" s="49"/>
      <c r="C106" s="90" t="s">
        <v>30</v>
      </c>
      <c r="D106" s="90"/>
      <c r="E106" s="41"/>
      <c r="F106" s="42"/>
      <c r="G106" s="42"/>
      <c r="H106" s="42" t="s">
        <v>38</v>
      </c>
      <c r="I106" s="43"/>
      <c r="J106" s="91" t="s">
        <v>39</v>
      </c>
      <c r="K106" s="91"/>
      <c r="L106" s="91"/>
      <c r="M106" s="20"/>
    </row>
    <row r="107" spans="1:13" ht="16.5" hidden="1">
      <c r="A107" s="28"/>
      <c r="B107" s="49"/>
      <c r="C107" s="92" t="s">
        <v>40</v>
      </c>
      <c r="D107" s="93"/>
      <c r="E107" s="41"/>
      <c r="F107" s="50"/>
      <c r="G107" s="50"/>
      <c r="H107" s="50" t="s">
        <v>36</v>
      </c>
      <c r="I107" s="43"/>
      <c r="J107" s="94" t="s">
        <v>37</v>
      </c>
      <c r="K107" s="94"/>
      <c r="L107" s="94"/>
      <c r="M107" s="27"/>
    </row>
    <row r="108" spans="2:13" ht="15.75" hidden="1">
      <c r="B108" s="58" t="s">
        <v>34</v>
      </c>
      <c r="C108" s="51"/>
      <c r="D108" s="51"/>
      <c r="E108" s="51"/>
      <c r="F108" s="52"/>
      <c r="G108" s="52"/>
      <c r="H108" s="30"/>
      <c r="I108" s="51"/>
      <c r="J108" s="52"/>
      <c r="K108" s="51"/>
      <c r="L108" s="51"/>
      <c r="M108" s="27"/>
    </row>
    <row r="109" spans="2:13" ht="15.75" hidden="1">
      <c r="B109" s="109" t="s">
        <v>26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</row>
    <row r="110" spans="2:13" ht="9.75" customHeight="1" hidden="1">
      <c r="B110" s="7"/>
      <c r="C110" s="5"/>
      <c r="D110" s="5"/>
      <c r="E110" s="5"/>
      <c r="F110" s="5"/>
      <c r="G110" s="5"/>
      <c r="H110" s="19"/>
      <c r="I110" s="5"/>
      <c r="J110" s="5"/>
      <c r="K110" s="5"/>
      <c r="L110" s="5"/>
      <c r="M110" s="19"/>
    </row>
    <row r="111" spans="2:13" ht="15.75" hidden="1">
      <c r="B111" s="109" t="s">
        <v>6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 ht="16.5" hidden="1">
      <c r="B112" s="110" t="s">
        <v>41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2:13" ht="16.5" hidden="1">
      <c r="B113" s="111" t="s">
        <v>71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2:13" ht="15.75" hidden="1">
      <c r="B114" s="3" t="s">
        <v>15</v>
      </c>
      <c r="C114" s="4"/>
      <c r="D114" s="4"/>
      <c r="E114" s="4"/>
      <c r="F114" s="4"/>
      <c r="G114" s="4"/>
      <c r="H114" s="6"/>
      <c r="I114" s="4"/>
      <c r="J114" s="4"/>
      <c r="K114" s="4"/>
      <c r="L114" s="4"/>
      <c r="M114" s="6"/>
    </row>
    <row r="115" spans="3:12" ht="13.5" hidden="1">
      <c r="C115" s="2"/>
      <c r="D115" s="112" t="s">
        <v>1</v>
      </c>
      <c r="E115" s="112"/>
      <c r="F115" s="113"/>
      <c r="G115" s="113"/>
      <c r="H115" s="113"/>
      <c r="I115" s="112" t="s">
        <v>2</v>
      </c>
      <c r="J115" s="112"/>
      <c r="K115" s="112"/>
      <c r="L115" s="112"/>
    </row>
    <row r="116" spans="2:13" ht="23.25" customHeight="1" hidden="1">
      <c r="B116" s="106" t="s">
        <v>8</v>
      </c>
      <c r="C116" s="108" t="s">
        <v>12</v>
      </c>
      <c r="D116" s="108" t="s">
        <v>13</v>
      </c>
      <c r="E116" s="108" t="s">
        <v>16</v>
      </c>
      <c r="F116" s="100" t="s">
        <v>14</v>
      </c>
      <c r="G116" s="65"/>
      <c r="H116" s="100" t="s">
        <v>0</v>
      </c>
      <c r="I116" s="100" t="s">
        <v>22</v>
      </c>
      <c r="J116" s="100" t="s">
        <v>23</v>
      </c>
      <c r="K116" s="100" t="s">
        <v>24</v>
      </c>
      <c r="L116" s="100" t="s">
        <v>25</v>
      </c>
      <c r="M116" s="67" t="s">
        <v>9</v>
      </c>
    </row>
    <row r="117" spans="2:13" ht="32.25" customHeight="1" hidden="1">
      <c r="B117" s="107"/>
      <c r="C117" s="108"/>
      <c r="D117" s="108"/>
      <c r="E117" s="108"/>
      <c r="F117" s="100"/>
      <c r="G117" s="65"/>
      <c r="H117" s="100"/>
      <c r="I117" s="100"/>
      <c r="J117" s="100"/>
      <c r="K117" s="100"/>
      <c r="L117" s="100"/>
      <c r="M117" s="1" t="s">
        <v>10</v>
      </c>
    </row>
    <row r="118" spans="2:13" ht="13.5" hidden="1">
      <c r="B118" s="8" t="s">
        <v>35</v>
      </c>
      <c r="C118" s="9">
        <f>SUM(C119:C124)</f>
        <v>10569638.75</v>
      </c>
      <c r="D118" s="9">
        <f>SUM(D119:D124)</f>
        <v>8457377.53</v>
      </c>
      <c r="E118" s="9">
        <f>SUM(E119:E124)</f>
        <v>566.74</v>
      </c>
      <c r="F118" s="9">
        <f>SUM(F119:F124)</f>
        <v>6576293.3</v>
      </c>
      <c r="G118" s="9">
        <f aca="true" t="shared" si="14" ref="G118:G124">D118+E118-F118</f>
        <v>1881650.9699999997</v>
      </c>
      <c r="H118" s="21">
        <f>F118/(D118+E118)</f>
        <v>0.7775285684165427</v>
      </c>
      <c r="I118" s="9">
        <f>SUM(I119:I124)</f>
        <v>1883732.13</v>
      </c>
      <c r="J118" s="9">
        <f>SUM(J119:J124)</f>
        <v>12243.28</v>
      </c>
      <c r="K118" s="9">
        <f>SUM(K119:K124)</f>
        <v>13855</v>
      </c>
      <c r="L118" s="9">
        <f>I118+J118-K118</f>
        <v>1882120.41</v>
      </c>
      <c r="M118" s="25">
        <f>F118/C118</f>
        <v>0.6221871395557393</v>
      </c>
    </row>
    <row r="119" spans="2:13" ht="15.75" customHeight="1" hidden="1">
      <c r="B119" s="11" t="s">
        <v>17</v>
      </c>
      <c r="C119" s="12">
        <v>3522582.85</v>
      </c>
      <c r="D119" s="12">
        <v>3525327.12</v>
      </c>
      <c r="E119" s="12">
        <v>566.74</v>
      </c>
      <c r="F119" s="12">
        <v>6576293.3</v>
      </c>
      <c r="G119" s="12">
        <f t="shared" si="14"/>
        <v>-3050399.4399999995</v>
      </c>
      <c r="H119" s="21"/>
      <c r="I119" s="12">
        <f>225317.75+1658414.38</f>
        <v>1883732.13</v>
      </c>
      <c r="J119" s="12">
        <f>16249.28-4006</f>
        <v>12243.28</v>
      </c>
      <c r="K119" s="12">
        <v>13855</v>
      </c>
      <c r="L119" s="10">
        <f>I119+J119-K119</f>
        <v>1882120.41</v>
      </c>
      <c r="M119" s="23"/>
    </row>
    <row r="120" spans="2:13" ht="13.5" hidden="1">
      <c r="B120" s="11" t="s">
        <v>18</v>
      </c>
      <c r="C120" s="12">
        <v>6347999.9</v>
      </c>
      <c r="D120" s="12">
        <v>4103042.5</v>
      </c>
      <c r="E120" s="12">
        <v>0</v>
      </c>
      <c r="F120" s="12">
        <v>0</v>
      </c>
      <c r="G120" s="12">
        <f t="shared" si="14"/>
        <v>4103042.5</v>
      </c>
      <c r="H120" s="21"/>
      <c r="I120" s="12">
        <v>0</v>
      </c>
      <c r="J120" s="12">
        <v>0</v>
      </c>
      <c r="K120" s="12">
        <v>0</v>
      </c>
      <c r="L120" s="10">
        <v>0</v>
      </c>
      <c r="M120" s="23"/>
    </row>
    <row r="121" spans="2:13" ht="13.5" hidden="1">
      <c r="B121" s="11" t="s">
        <v>19</v>
      </c>
      <c r="C121" s="12">
        <v>696356</v>
      </c>
      <c r="D121" s="12">
        <v>829007.91</v>
      </c>
      <c r="E121" s="12">
        <v>0</v>
      </c>
      <c r="F121" s="12">
        <v>0</v>
      </c>
      <c r="G121" s="12">
        <f t="shared" si="14"/>
        <v>829007.91</v>
      </c>
      <c r="H121" s="21"/>
      <c r="I121" s="12">
        <v>0</v>
      </c>
      <c r="J121" s="12">
        <v>0</v>
      </c>
      <c r="K121" s="12">
        <v>0</v>
      </c>
      <c r="L121" s="10">
        <v>0</v>
      </c>
      <c r="M121" s="23"/>
    </row>
    <row r="122" spans="2:13" ht="13.5" hidden="1">
      <c r="B122" s="11" t="s">
        <v>20</v>
      </c>
      <c r="C122" s="12">
        <v>0</v>
      </c>
      <c r="D122" s="12">
        <v>0</v>
      </c>
      <c r="E122" s="12">
        <v>0</v>
      </c>
      <c r="F122" s="12">
        <v>0</v>
      </c>
      <c r="G122" s="12">
        <f t="shared" si="14"/>
        <v>0</v>
      </c>
      <c r="H122" s="21"/>
      <c r="I122" s="12">
        <v>0</v>
      </c>
      <c r="J122" s="12">
        <v>0</v>
      </c>
      <c r="K122" s="12">
        <v>0</v>
      </c>
      <c r="L122" s="10">
        <v>0</v>
      </c>
      <c r="M122" s="23"/>
    </row>
    <row r="123" spans="2:13" ht="15.75" customHeight="1" hidden="1">
      <c r="B123" s="11" t="s">
        <v>21</v>
      </c>
      <c r="C123" s="12">
        <v>0</v>
      </c>
      <c r="D123" s="12">
        <v>0</v>
      </c>
      <c r="E123" s="12">
        <v>0</v>
      </c>
      <c r="F123" s="12">
        <v>0</v>
      </c>
      <c r="G123" s="12">
        <f t="shared" si="14"/>
        <v>0</v>
      </c>
      <c r="H123" s="21"/>
      <c r="I123" s="12">
        <v>0</v>
      </c>
      <c r="J123" s="12">
        <v>0</v>
      </c>
      <c r="K123" s="12">
        <v>0</v>
      </c>
      <c r="L123" s="10">
        <v>0</v>
      </c>
      <c r="M123" s="23"/>
    </row>
    <row r="124" spans="2:13" ht="13.5" hidden="1">
      <c r="B124" s="11" t="s">
        <v>51</v>
      </c>
      <c r="C124" s="12">
        <v>2700</v>
      </c>
      <c r="D124" s="12">
        <v>0</v>
      </c>
      <c r="E124" s="12">
        <v>0</v>
      </c>
      <c r="F124" s="12">
        <v>0</v>
      </c>
      <c r="G124" s="12">
        <f t="shared" si="14"/>
        <v>0</v>
      </c>
      <c r="H124" s="21"/>
      <c r="I124" s="12">
        <v>0</v>
      </c>
      <c r="J124" s="12">
        <v>0</v>
      </c>
      <c r="K124" s="12">
        <v>0</v>
      </c>
      <c r="L124" s="10">
        <v>0</v>
      </c>
      <c r="M124" s="23"/>
    </row>
    <row r="125" spans="2:13" ht="15.75" customHeight="1" hidden="1">
      <c r="B125" s="8" t="s">
        <v>27</v>
      </c>
      <c r="C125" s="9">
        <f>SUM(C126:C138)</f>
        <v>79745401.78</v>
      </c>
      <c r="D125" s="9">
        <f>SUM(D126:D138)</f>
        <v>63432191.79</v>
      </c>
      <c r="E125" s="9">
        <f>SUM(E126:E138)</f>
        <v>0.5</v>
      </c>
      <c r="F125" s="9">
        <f>SUM(F126:F138)</f>
        <v>41180626.54</v>
      </c>
      <c r="G125" s="9">
        <f>SUM(G126:G138)</f>
        <v>22251565.75000001</v>
      </c>
      <c r="H125" s="21"/>
      <c r="I125" s="9">
        <f>SUM(I126:I138)</f>
        <v>21979957.460000012</v>
      </c>
      <c r="J125" s="9">
        <f>SUM(J126:J138)</f>
        <v>497607.67</v>
      </c>
      <c r="K125" s="9">
        <f>SUM(K126:K138)</f>
        <v>225999.24</v>
      </c>
      <c r="L125" s="9">
        <f>SUM(L126:L138)</f>
        <v>22251565.890000004</v>
      </c>
      <c r="M125" s="25"/>
    </row>
    <row r="126" spans="2:13" ht="13.5" hidden="1">
      <c r="B126" s="11" t="s">
        <v>54</v>
      </c>
      <c r="C126" s="12">
        <v>26444293</v>
      </c>
      <c r="D126" s="12">
        <v>17661848.12</v>
      </c>
      <c r="E126" s="12">
        <v>0</v>
      </c>
      <c r="F126" s="12">
        <v>17631460.4</v>
      </c>
      <c r="G126" s="12">
        <f>D126+E126-F126</f>
        <v>30387.720000002533</v>
      </c>
      <c r="H126" s="21">
        <f aca="true" t="shared" si="15" ref="H126:H137">F126/(D126+E126)</f>
        <v>0.9982794711066736</v>
      </c>
      <c r="I126" s="12">
        <v>158765.02</v>
      </c>
      <c r="J126" s="12">
        <f>1322.56</f>
        <v>1322.56</v>
      </c>
      <c r="K126" s="12">
        <f>129699.93</f>
        <v>129699.93</v>
      </c>
      <c r="L126" s="10">
        <f aca="true" t="shared" si="16" ref="L126:L137">I126+J126-K126</f>
        <v>30387.649999999994</v>
      </c>
      <c r="M126" s="25">
        <f>F126/C126</f>
        <v>0.666739715824507</v>
      </c>
    </row>
    <row r="127" spans="2:13" ht="15.75" customHeight="1" hidden="1">
      <c r="B127" s="11" t="s">
        <v>55</v>
      </c>
      <c r="C127" s="12">
        <v>12591512</v>
      </c>
      <c r="D127" s="12">
        <v>11332360.8</v>
      </c>
      <c r="E127" s="12">
        <v>0.31</v>
      </c>
      <c r="F127" s="12">
        <v>2349034.76</v>
      </c>
      <c r="G127" s="12">
        <f>D127+E127-F127</f>
        <v>8983326.350000001</v>
      </c>
      <c r="H127" s="21">
        <f t="shared" si="15"/>
        <v>0.20728555481056318</v>
      </c>
      <c r="I127" s="12">
        <v>9013701.81</v>
      </c>
      <c r="J127" s="12">
        <v>0</v>
      </c>
      <c r="K127" s="12">
        <v>30375.46</v>
      </c>
      <c r="L127" s="10">
        <f t="shared" si="16"/>
        <v>8983326.35</v>
      </c>
      <c r="M127" s="25">
        <f aca="true" t="shared" si="17" ref="M127:M135">F127/C127</f>
        <v>0.18655700443282744</v>
      </c>
    </row>
    <row r="128" spans="1:14" s="68" customFormat="1" ht="13.5" hidden="1">
      <c r="A128" s="2"/>
      <c r="B128" s="11" t="s">
        <v>56</v>
      </c>
      <c r="C128" s="12">
        <v>25407614</v>
      </c>
      <c r="D128" s="12">
        <v>19055710.8</v>
      </c>
      <c r="E128" s="12">
        <v>0</v>
      </c>
      <c r="F128" s="12">
        <v>16229259.18</v>
      </c>
      <c r="G128" s="12">
        <f>D128+E128-F128</f>
        <v>2826451.620000001</v>
      </c>
      <c r="H128" s="21">
        <f t="shared" si="15"/>
        <v>0.8516743012283751</v>
      </c>
      <c r="I128" s="12">
        <v>2848248.01</v>
      </c>
      <c r="J128" s="12">
        <f>200+701.8</f>
        <v>901.8</v>
      </c>
      <c r="K128" s="12">
        <v>22698</v>
      </c>
      <c r="L128" s="10">
        <f t="shared" si="16"/>
        <v>2826451.8099999996</v>
      </c>
      <c r="M128" s="25">
        <f t="shared" si="17"/>
        <v>0.6387557359774121</v>
      </c>
      <c r="N128" s="80"/>
    </row>
    <row r="129" spans="2:13" ht="15.75" customHeight="1" hidden="1">
      <c r="B129" s="11" t="s">
        <v>57</v>
      </c>
      <c r="C129" s="12">
        <v>1057470</v>
      </c>
      <c r="D129" s="12">
        <v>652324.38</v>
      </c>
      <c r="E129" s="12">
        <v>0</v>
      </c>
      <c r="F129" s="12">
        <v>0</v>
      </c>
      <c r="G129" s="12">
        <f>D129+E129-F129</f>
        <v>652324.38</v>
      </c>
      <c r="H129" s="21">
        <f t="shared" si="15"/>
        <v>0</v>
      </c>
      <c r="I129" s="12">
        <v>652324.38</v>
      </c>
      <c r="J129" s="12">
        <v>0</v>
      </c>
      <c r="K129" s="12">
        <v>0</v>
      </c>
      <c r="L129" s="10">
        <f t="shared" si="16"/>
        <v>652324.38</v>
      </c>
      <c r="M129" s="25">
        <f t="shared" si="17"/>
        <v>0</v>
      </c>
    </row>
    <row r="130" spans="2:13" ht="13.5" hidden="1">
      <c r="B130" s="11" t="s">
        <v>58</v>
      </c>
      <c r="C130" s="12">
        <v>12329603</v>
      </c>
      <c r="D130" s="12">
        <v>9300881.4</v>
      </c>
      <c r="E130" s="12">
        <v>0.19</v>
      </c>
      <c r="F130" s="12">
        <v>4236622.35</v>
      </c>
      <c r="G130" s="12">
        <f>D130+E130-F130</f>
        <v>5064259.24</v>
      </c>
      <c r="H130" s="21">
        <f t="shared" si="15"/>
        <v>0.4555076106500566</v>
      </c>
      <c r="I130" s="12">
        <v>5070381.91</v>
      </c>
      <c r="J130" s="12">
        <v>0</v>
      </c>
      <c r="K130" s="12">
        <v>6122.65</v>
      </c>
      <c r="L130" s="10">
        <f t="shared" si="16"/>
        <v>5064259.26</v>
      </c>
      <c r="M130" s="25">
        <f t="shared" si="17"/>
        <v>0.3436138495294617</v>
      </c>
    </row>
    <row r="131" spans="2:13" ht="15.75" customHeight="1" hidden="1">
      <c r="B131" s="11" t="s">
        <v>59</v>
      </c>
      <c r="C131" s="12">
        <v>1167126</v>
      </c>
      <c r="D131" s="12">
        <v>626282.8</v>
      </c>
      <c r="E131" s="12">
        <v>0</v>
      </c>
      <c r="F131" s="12">
        <v>244517.08</v>
      </c>
      <c r="G131" s="12">
        <f aca="true" t="shared" si="18" ref="G131:G152">D131+E131-F131</f>
        <v>381765.7200000001</v>
      </c>
      <c r="H131" s="21">
        <f t="shared" si="15"/>
        <v>0.39042598647128735</v>
      </c>
      <c r="I131" s="12">
        <v>414943.42</v>
      </c>
      <c r="J131" s="12">
        <v>0</v>
      </c>
      <c r="K131" s="12">
        <v>33177.7</v>
      </c>
      <c r="L131" s="10">
        <f t="shared" si="16"/>
        <v>381765.72</v>
      </c>
      <c r="M131" s="25">
        <f t="shared" si="17"/>
        <v>0.20950358401749253</v>
      </c>
    </row>
    <row r="132" spans="2:13" ht="13.5" hidden="1">
      <c r="B132" s="11" t="s">
        <v>60</v>
      </c>
      <c r="C132" s="12">
        <v>161698</v>
      </c>
      <c r="D132" s="12">
        <v>209008.73</v>
      </c>
      <c r="E132" s="12">
        <v>0</v>
      </c>
      <c r="F132" s="12">
        <v>0</v>
      </c>
      <c r="G132" s="12">
        <f t="shared" si="18"/>
        <v>209008.73</v>
      </c>
      <c r="H132" s="21">
        <f t="shared" si="15"/>
        <v>0</v>
      </c>
      <c r="I132" s="12">
        <v>209008.73</v>
      </c>
      <c r="J132" s="12">
        <v>0</v>
      </c>
      <c r="K132" s="12">
        <v>0</v>
      </c>
      <c r="L132" s="10">
        <f t="shared" si="16"/>
        <v>209008.73</v>
      </c>
      <c r="M132" s="25">
        <f t="shared" si="17"/>
        <v>0</v>
      </c>
    </row>
    <row r="133" spans="2:13" ht="13.5" hidden="1">
      <c r="B133" s="11" t="s">
        <v>61</v>
      </c>
      <c r="C133" s="12">
        <v>44192</v>
      </c>
      <c r="D133" s="12">
        <v>33143.71</v>
      </c>
      <c r="E133" s="12">
        <v>0</v>
      </c>
      <c r="F133" s="12">
        <v>23559.2</v>
      </c>
      <c r="G133" s="12">
        <f t="shared" si="18"/>
        <v>9584.509999999998</v>
      </c>
      <c r="H133" s="21">
        <f t="shared" si="15"/>
        <v>0.710819639684272</v>
      </c>
      <c r="I133" s="12">
        <v>9584.51</v>
      </c>
      <c r="J133" s="12">
        <v>0</v>
      </c>
      <c r="K133" s="12">
        <v>0</v>
      </c>
      <c r="L133" s="10">
        <f t="shared" si="16"/>
        <v>9584.51</v>
      </c>
      <c r="M133" s="25">
        <f t="shared" si="17"/>
        <v>0.5331100651701666</v>
      </c>
    </row>
    <row r="134" spans="2:13" ht="13.5" hidden="1">
      <c r="B134" s="11" t="s">
        <v>62</v>
      </c>
      <c r="C134" s="12">
        <v>439401</v>
      </c>
      <c r="D134" s="12">
        <v>309166.42</v>
      </c>
      <c r="E134" s="12">
        <v>0</v>
      </c>
      <c r="F134" s="12">
        <v>0</v>
      </c>
      <c r="G134" s="12">
        <f t="shared" si="18"/>
        <v>309166.42</v>
      </c>
      <c r="H134" s="21">
        <f t="shared" si="15"/>
        <v>0</v>
      </c>
      <c r="I134" s="12">
        <v>309166.42</v>
      </c>
      <c r="J134" s="12">
        <v>0</v>
      </c>
      <c r="K134" s="12">
        <v>0</v>
      </c>
      <c r="L134" s="10">
        <f t="shared" si="16"/>
        <v>309166.42</v>
      </c>
      <c r="M134" s="25">
        <f t="shared" si="17"/>
        <v>0</v>
      </c>
    </row>
    <row r="135" spans="2:13" ht="13.5" hidden="1">
      <c r="B135" s="11" t="s">
        <v>63</v>
      </c>
      <c r="C135" s="12">
        <v>102492.78</v>
      </c>
      <c r="D135" s="12">
        <v>102492.78</v>
      </c>
      <c r="E135" s="12">
        <v>0</v>
      </c>
      <c r="F135" s="12">
        <v>6960</v>
      </c>
      <c r="G135" s="12">
        <f t="shared" si="18"/>
        <v>95532.78</v>
      </c>
      <c r="H135" s="21">
        <f t="shared" si="15"/>
        <v>0.06790722234288113</v>
      </c>
      <c r="I135" s="12">
        <v>95532.78</v>
      </c>
      <c r="J135" s="12">
        <v>0</v>
      </c>
      <c r="K135" s="12">
        <v>0</v>
      </c>
      <c r="L135" s="10">
        <f t="shared" si="16"/>
        <v>95532.78</v>
      </c>
      <c r="M135" s="25">
        <f t="shared" si="17"/>
        <v>0.06790722234288113</v>
      </c>
    </row>
    <row r="136" spans="2:13" ht="13.5" hidden="1">
      <c r="B136" s="11" t="s">
        <v>65</v>
      </c>
      <c r="C136" s="12">
        <v>0</v>
      </c>
      <c r="D136" s="12">
        <v>1928854</v>
      </c>
      <c r="E136" s="12"/>
      <c r="F136" s="12">
        <v>155642</v>
      </c>
      <c r="G136" s="12">
        <f t="shared" si="18"/>
        <v>1773212</v>
      </c>
      <c r="H136" s="21">
        <f t="shared" si="15"/>
        <v>0.08069143646953061</v>
      </c>
      <c r="I136" s="12">
        <v>1773212</v>
      </c>
      <c r="J136" s="12">
        <v>0</v>
      </c>
      <c r="K136" s="12">
        <v>0</v>
      </c>
      <c r="L136" s="10">
        <f t="shared" si="16"/>
        <v>1773212</v>
      </c>
      <c r="M136" s="25">
        <v>0</v>
      </c>
    </row>
    <row r="137" spans="2:13" ht="13.5" hidden="1">
      <c r="B137" s="11" t="s">
        <v>67</v>
      </c>
      <c r="C137" s="12">
        <v>0</v>
      </c>
      <c r="D137" s="12">
        <v>1110591</v>
      </c>
      <c r="E137" s="12">
        <v>0</v>
      </c>
      <c r="F137" s="12">
        <v>303571.57</v>
      </c>
      <c r="G137" s="12">
        <f t="shared" si="18"/>
        <v>807019.4299999999</v>
      </c>
      <c r="H137" s="21">
        <f t="shared" si="15"/>
        <v>0.2733423645608509</v>
      </c>
      <c r="I137" s="12">
        <v>315561.62</v>
      </c>
      <c r="J137" s="12">
        <v>495383.31</v>
      </c>
      <c r="K137" s="12">
        <f>1308.5+2617</f>
        <v>3925.5</v>
      </c>
      <c r="L137" s="10">
        <f t="shared" si="16"/>
        <v>807019.4299999999</v>
      </c>
      <c r="M137" s="25">
        <v>0</v>
      </c>
    </row>
    <row r="138" spans="2:16" ht="13.5" hidden="1">
      <c r="B138" s="11" t="s">
        <v>70</v>
      </c>
      <c r="C138" s="12"/>
      <c r="D138" s="12">
        <v>1109526.85</v>
      </c>
      <c r="E138" s="12"/>
      <c r="F138" s="12">
        <v>0</v>
      </c>
      <c r="G138" s="12">
        <f t="shared" si="18"/>
        <v>1109526.85</v>
      </c>
      <c r="H138" s="21"/>
      <c r="I138" s="12">
        <v>1109526.85</v>
      </c>
      <c r="J138" s="12"/>
      <c r="K138" s="12">
        <v>0</v>
      </c>
      <c r="L138" s="10">
        <f>I138+J138-K138</f>
        <v>1109526.85</v>
      </c>
      <c r="M138" s="25">
        <v>0</v>
      </c>
      <c r="P138" s="17"/>
    </row>
    <row r="139" spans="2:13" ht="13.5" hidden="1">
      <c r="B139" s="8" t="s">
        <v>33</v>
      </c>
      <c r="C139" s="9">
        <f>SUM(C140:C150)</f>
        <v>6584416.71</v>
      </c>
      <c r="D139" s="9">
        <f>SUM(D140:D150)</f>
        <v>131433.9</v>
      </c>
      <c r="E139" s="9">
        <f>SUM(E140:E151)</f>
        <v>2573.9900000000002</v>
      </c>
      <c r="F139" s="9">
        <f>SUM(F140:F151)</f>
        <v>6377917.33</v>
      </c>
      <c r="G139" s="9">
        <f t="shared" si="18"/>
        <v>-6243909.44</v>
      </c>
      <c r="H139" s="22"/>
      <c r="I139" s="9">
        <f>SUM(I140:I151)</f>
        <v>713615.3799999999</v>
      </c>
      <c r="J139" s="9">
        <f>SUM(J140:J151)</f>
        <v>14716.3</v>
      </c>
      <c r="K139" s="9">
        <f>SUM(K140:K151)</f>
        <v>1051911.61</v>
      </c>
      <c r="L139" s="9">
        <f>SUM(L140:L151)</f>
        <v>167956.59999999998</v>
      </c>
      <c r="M139" s="23"/>
    </row>
    <row r="140" spans="2:13" ht="13.5" hidden="1">
      <c r="B140" s="11" t="s">
        <v>42</v>
      </c>
      <c r="C140" s="12">
        <v>160009.44</v>
      </c>
      <c r="D140" s="12">
        <v>122861.9</v>
      </c>
      <c r="E140" s="12">
        <v>111.74</v>
      </c>
      <c r="F140" s="12">
        <v>152995.34</v>
      </c>
      <c r="G140" s="12">
        <f t="shared" si="18"/>
        <v>-30021.699999999997</v>
      </c>
      <c r="H140" s="24"/>
      <c r="I140" s="12">
        <v>35493.4</v>
      </c>
      <c r="J140" s="12">
        <v>0</v>
      </c>
      <c r="K140" s="12">
        <v>0</v>
      </c>
      <c r="L140" s="10">
        <v>0</v>
      </c>
      <c r="M140" s="23">
        <f aca="true" t="shared" si="19" ref="M140:M150">F140/C140</f>
        <v>0.9561644612967835</v>
      </c>
    </row>
    <row r="141" spans="2:13" ht="13.5" hidden="1">
      <c r="B141" s="11" t="s">
        <v>43</v>
      </c>
      <c r="C141" s="12">
        <v>439871.16</v>
      </c>
      <c r="D141" s="12">
        <v>0</v>
      </c>
      <c r="E141" s="12">
        <v>71.41</v>
      </c>
      <c r="F141" s="12">
        <v>439871.16</v>
      </c>
      <c r="G141" s="12">
        <f t="shared" si="18"/>
        <v>-439799.75</v>
      </c>
      <c r="H141" s="24"/>
      <c r="I141" s="12">
        <v>0</v>
      </c>
      <c r="J141" s="12">
        <f>1368.8+1794</f>
        <v>3162.8</v>
      </c>
      <c r="K141" s="12">
        <v>0</v>
      </c>
      <c r="L141" s="10">
        <f aca="true" t="shared" si="20" ref="L141:L150">I141+J141-K141</f>
        <v>3162.8</v>
      </c>
      <c r="M141" s="23">
        <f t="shared" si="19"/>
        <v>1</v>
      </c>
    </row>
    <row r="142" spans="2:16" ht="13.5" hidden="1">
      <c r="B142" s="11" t="s">
        <v>44</v>
      </c>
      <c r="C142" s="12">
        <v>354507.28</v>
      </c>
      <c r="D142" s="12">
        <v>8572</v>
      </c>
      <c r="E142" s="12">
        <v>81.07</v>
      </c>
      <c r="F142" s="12">
        <v>354588.35</v>
      </c>
      <c r="G142" s="12">
        <f t="shared" si="18"/>
        <v>-345935.27999999997</v>
      </c>
      <c r="H142" s="24"/>
      <c r="I142" s="12">
        <v>0</v>
      </c>
      <c r="J142" s="12">
        <v>0</v>
      </c>
      <c r="K142" s="12">
        <v>0</v>
      </c>
      <c r="L142" s="10">
        <f t="shared" si="20"/>
        <v>0</v>
      </c>
      <c r="M142" s="23">
        <f t="shared" si="19"/>
        <v>1.0002286835971321</v>
      </c>
      <c r="P142" s="17"/>
    </row>
    <row r="143" spans="2:13" ht="13.5" hidden="1">
      <c r="B143" s="11" t="s">
        <v>45</v>
      </c>
      <c r="C143" s="12">
        <v>1002913.77</v>
      </c>
      <c r="D143" s="12">
        <v>0</v>
      </c>
      <c r="E143" s="12">
        <v>384.78</v>
      </c>
      <c r="F143" s="12">
        <v>1002913.77</v>
      </c>
      <c r="G143" s="12">
        <f t="shared" si="18"/>
        <v>-1002528.99</v>
      </c>
      <c r="H143" s="24"/>
      <c r="I143" s="12">
        <v>0</v>
      </c>
      <c r="J143" s="12">
        <v>0</v>
      </c>
      <c r="K143" s="12">
        <v>0</v>
      </c>
      <c r="L143" s="10">
        <f t="shared" si="20"/>
        <v>0</v>
      </c>
      <c r="M143" s="23">
        <f t="shared" si="19"/>
        <v>1</v>
      </c>
    </row>
    <row r="144" spans="2:13" ht="15.75" customHeight="1" hidden="1">
      <c r="B144" s="11" t="s">
        <v>46</v>
      </c>
      <c r="C144" s="12">
        <v>41804.34</v>
      </c>
      <c r="D144" s="12">
        <v>0</v>
      </c>
      <c r="E144" s="12">
        <v>8.51</v>
      </c>
      <c r="F144" s="12">
        <v>41811.06</v>
      </c>
      <c r="G144" s="12">
        <f t="shared" si="18"/>
        <v>-41802.549999999996</v>
      </c>
      <c r="H144" s="24"/>
      <c r="I144" s="12">
        <v>0</v>
      </c>
      <c r="J144" s="12">
        <v>0</v>
      </c>
      <c r="K144" s="12">
        <v>0</v>
      </c>
      <c r="L144" s="10">
        <f t="shared" si="20"/>
        <v>0</v>
      </c>
      <c r="M144" s="23">
        <f t="shared" si="19"/>
        <v>1.0001607488600466</v>
      </c>
    </row>
    <row r="145" spans="2:13" ht="13.5" hidden="1">
      <c r="B145" s="11" t="s">
        <v>47</v>
      </c>
      <c r="C145" s="12">
        <v>92195.51</v>
      </c>
      <c r="D145" s="12">
        <v>0</v>
      </c>
      <c r="E145" s="12">
        <v>6.49</v>
      </c>
      <c r="F145" s="12">
        <v>92195.51</v>
      </c>
      <c r="G145" s="12">
        <f t="shared" si="18"/>
        <v>-92189.01999999999</v>
      </c>
      <c r="H145" s="24"/>
      <c r="I145" s="12">
        <v>0</v>
      </c>
      <c r="J145" s="12">
        <v>0</v>
      </c>
      <c r="K145" s="12">
        <v>0</v>
      </c>
      <c r="L145" s="10">
        <f t="shared" si="20"/>
        <v>0</v>
      </c>
      <c r="M145" s="23">
        <f t="shared" si="19"/>
        <v>1</v>
      </c>
    </row>
    <row r="146" spans="2:13" ht="13.5" hidden="1">
      <c r="B146" s="11" t="s">
        <v>48</v>
      </c>
      <c r="C146" s="12">
        <v>21421.27</v>
      </c>
      <c r="D146" s="12">
        <v>0</v>
      </c>
      <c r="E146" s="12">
        <v>3.02</v>
      </c>
      <c r="F146" s="12">
        <v>21421.27</v>
      </c>
      <c r="G146" s="12">
        <f t="shared" si="18"/>
        <v>-21418.25</v>
      </c>
      <c r="H146" s="24"/>
      <c r="I146" s="12">
        <v>0</v>
      </c>
      <c r="J146" s="12">
        <v>0</v>
      </c>
      <c r="K146" s="12">
        <v>0</v>
      </c>
      <c r="L146" s="10">
        <f t="shared" si="20"/>
        <v>0</v>
      </c>
      <c r="M146" s="23">
        <f t="shared" si="19"/>
        <v>1</v>
      </c>
    </row>
    <row r="147" spans="2:13" ht="13.5" hidden="1">
      <c r="B147" s="11" t="s">
        <v>49</v>
      </c>
      <c r="C147" s="12">
        <v>4228.4</v>
      </c>
      <c r="D147" s="12">
        <v>0</v>
      </c>
      <c r="E147" s="12">
        <v>0</v>
      </c>
      <c r="F147" s="12">
        <v>4228.4</v>
      </c>
      <c r="G147" s="12">
        <f t="shared" si="18"/>
        <v>-4228.4</v>
      </c>
      <c r="H147" s="24"/>
      <c r="I147" s="12">
        <v>0</v>
      </c>
      <c r="J147" s="12">
        <v>0</v>
      </c>
      <c r="K147" s="12">
        <v>0</v>
      </c>
      <c r="L147" s="10">
        <f t="shared" si="20"/>
        <v>0</v>
      </c>
      <c r="M147" s="23">
        <f t="shared" si="19"/>
        <v>1</v>
      </c>
    </row>
    <row r="148" spans="2:13" ht="13.5" hidden="1">
      <c r="B148" s="11" t="s">
        <v>50</v>
      </c>
      <c r="C148" s="12">
        <v>232420.37</v>
      </c>
      <c r="D148" s="12">
        <v>0</v>
      </c>
      <c r="E148" s="12">
        <v>32.89</v>
      </c>
      <c r="F148" s="12">
        <v>232451.37</v>
      </c>
      <c r="G148" s="12">
        <f t="shared" si="18"/>
        <v>-232418.47999999998</v>
      </c>
      <c r="H148" s="24"/>
      <c r="I148" s="12">
        <v>0</v>
      </c>
      <c r="J148" s="12">
        <v>0</v>
      </c>
      <c r="K148" s="12">
        <v>0</v>
      </c>
      <c r="L148" s="10">
        <f t="shared" si="20"/>
        <v>0</v>
      </c>
      <c r="M148" s="23">
        <f t="shared" si="19"/>
        <v>1.000133379014929</v>
      </c>
    </row>
    <row r="149" spans="2:13" ht="13.5" hidden="1">
      <c r="B149" s="11" t="s">
        <v>52</v>
      </c>
      <c r="C149" s="12">
        <v>4072457.96</v>
      </c>
      <c r="D149" s="12">
        <v>0</v>
      </c>
      <c r="E149" s="12">
        <v>0</v>
      </c>
      <c r="F149" s="12">
        <v>4035441.1</v>
      </c>
      <c r="G149" s="12">
        <f t="shared" si="18"/>
        <v>-4035441.1</v>
      </c>
      <c r="H149" s="24"/>
      <c r="I149" s="12">
        <v>0</v>
      </c>
      <c r="J149" s="12">
        <v>0</v>
      </c>
      <c r="K149" s="12">
        <v>0</v>
      </c>
      <c r="L149" s="10">
        <f t="shared" si="20"/>
        <v>0</v>
      </c>
      <c r="M149" s="23">
        <f t="shared" si="19"/>
        <v>0.9909104377838686</v>
      </c>
    </row>
    <row r="150" spans="2:13" ht="13.5" hidden="1">
      <c r="B150" s="11" t="s">
        <v>66</v>
      </c>
      <c r="C150" s="12">
        <f>41574.61+60747.7+60264.9</f>
        <v>162587.21</v>
      </c>
      <c r="D150" s="12">
        <v>0</v>
      </c>
      <c r="E150" s="12">
        <f>251.9+115.65</f>
        <v>367.55</v>
      </c>
      <c r="F150" s="12">
        <v>0</v>
      </c>
      <c r="G150" s="12">
        <f t="shared" si="18"/>
        <v>367.55</v>
      </c>
      <c r="H150" s="24"/>
      <c r="I150" s="12">
        <f>112985.97+115.58+51692.25</f>
        <v>164793.8</v>
      </c>
      <c r="J150" s="12">
        <v>0</v>
      </c>
      <c r="K150" s="12">
        <v>0</v>
      </c>
      <c r="L150" s="10">
        <f t="shared" si="20"/>
        <v>164793.8</v>
      </c>
      <c r="M150" s="23">
        <f t="shared" si="19"/>
        <v>0</v>
      </c>
    </row>
    <row r="151" spans="2:13" ht="13.5" hidden="1">
      <c r="B151" s="11" t="s">
        <v>53</v>
      </c>
      <c r="C151" s="12">
        <v>0</v>
      </c>
      <c r="D151" s="12">
        <v>0</v>
      </c>
      <c r="E151" s="12">
        <f>21.85+546.09+129+16.17+205.08+305.97+282.37</f>
        <v>1506.5300000000002</v>
      </c>
      <c r="F151" s="12">
        <v>0</v>
      </c>
      <c r="G151" s="12">
        <f t="shared" si="18"/>
        <v>1506.5300000000002</v>
      </c>
      <c r="H151" s="24"/>
      <c r="I151" s="12">
        <f>12206.97+244938.61+57859.95+9816.49+91982.16+662.3+95861.7</f>
        <v>513328.17999999993</v>
      </c>
      <c r="J151" s="12">
        <v>11553.5</v>
      </c>
      <c r="K151" s="12">
        <f>148258.24+805263.61+6806.29+91583.36+0.11</f>
        <v>1051911.61</v>
      </c>
      <c r="L151" s="12">
        <v>0</v>
      </c>
      <c r="M151" s="23">
        <v>0</v>
      </c>
    </row>
    <row r="152" spans="2:13" ht="13.5" hidden="1">
      <c r="B152" s="13" t="s">
        <v>7</v>
      </c>
      <c r="C152" s="9">
        <f>C118+C125+C139</f>
        <v>96899457.24</v>
      </c>
      <c r="D152" s="9">
        <f>D118+D125+D139</f>
        <v>72021003.22</v>
      </c>
      <c r="E152" s="9">
        <f>E118+E125+E139</f>
        <v>3141.2300000000005</v>
      </c>
      <c r="F152" s="9">
        <f>F118+F125+F139</f>
        <v>54134837.169999994</v>
      </c>
      <c r="G152" s="9">
        <f t="shared" si="18"/>
        <v>17889307.28000001</v>
      </c>
      <c r="H152" s="22"/>
      <c r="I152" s="9">
        <f>I139+I125+I118</f>
        <v>24577304.97000001</v>
      </c>
      <c r="J152" s="9">
        <f>J139+J125+J118</f>
        <v>524567.25</v>
      </c>
      <c r="K152" s="9">
        <f>K139+K125+K118</f>
        <v>1291765.85</v>
      </c>
      <c r="L152" s="9">
        <f>L139+L125+L118</f>
        <v>24301642.900000006</v>
      </c>
      <c r="M152" s="26"/>
    </row>
    <row r="153" spans="2:13" ht="13.5" hidden="1">
      <c r="B153" s="76"/>
      <c r="C153" s="77"/>
      <c r="D153" s="77"/>
      <c r="E153" s="77"/>
      <c r="F153" s="77"/>
      <c r="G153" s="77"/>
      <c r="H153" s="78"/>
      <c r="I153" s="77"/>
      <c r="J153" s="77"/>
      <c r="K153" s="77"/>
      <c r="L153" s="77"/>
      <c r="M153" s="79"/>
    </row>
    <row r="154" spans="1:13" ht="12.75" hidden="1">
      <c r="A154" s="28"/>
      <c r="B154" s="28"/>
      <c r="C154" s="29"/>
      <c r="D154" s="101" t="s">
        <v>11</v>
      </c>
      <c r="E154" s="101"/>
      <c r="F154" s="101"/>
      <c r="G154" s="101"/>
      <c r="H154" s="101"/>
      <c r="I154" s="101"/>
      <c r="J154" s="101"/>
      <c r="K154" s="29"/>
      <c r="L154" s="29"/>
      <c r="M154" s="63"/>
    </row>
    <row r="155" spans="1:13" ht="13.5" hidden="1">
      <c r="A155" s="28"/>
      <c r="B155" s="28"/>
      <c r="C155" s="102" t="s">
        <v>3</v>
      </c>
      <c r="D155" s="102"/>
      <c r="E155" s="103" t="s">
        <v>4</v>
      </c>
      <c r="F155" s="104"/>
      <c r="G155" s="104"/>
      <c r="H155" s="105"/>
      <c r="I155" s="66" t="s">
        <v>64</v>
      </c>
      <c r="J155" s="31" t="s">
        <v>0</v>
      </c>
      <c r="K155" s="28"/>
      <c r="L155" s="32"/>
      <c r="M155" s="33"/>
    </row>
    <row r="156" spans="1:13" ht="13.5" hidden="1">
      <c r="A156" s="28"/>
      <c r="B156" s="28"/>
      <c r="C156" s="95" t="s">
        <v>31</v>
      </c>
      <c r="D156" s="95"/>
      <c r="E156" s="96">
        <v>5500000</v>
      </c>
      <c r="F156" s="97"/>
      <c r="G156" s="97"/>
      <c r="H156" s="98"/>
      <c r="I156" s="53">
        <v>3967658.8</v>
      </c>
      <c r="J156" s="34">
        <v>0.72</v>
      </c>
      <c r="K156" s="28"/>
      <c r="L156" s="32"/>
      <c r="M156" s="33"/>
    </row>
    <row r="157" spans="1:13" ht="13.5" hidden="1">
      <c r="A157" s="28"/>
      <c r="B157" s="28"/>
      <c r="C157" s="99" t="s">
        <v>32</v>
      </c>
      <c r="D157" s="99"/>
      <c r="E157" s="96">
        <v>2944927.94</v>
      </c>
      <c r="F157" s="97"/>
      <c r="G157" s="97"/>
      <c r="H157" s="98"/>
      <c r="I157" s="53">
        <v>2300949.88</v>
      </c>
      <c r="J157" s="34">
        <v>0.78</v>
      </c>
      <c r="K157" s="29"/>
      <c r="L157" s="32"/>
      <c r="M157" s="33"/>
    </row>
    <row r="158" spans="1:13" ht="13.5" hidden="1">
      <c r="A158" s="28"/>
      <c r="B158" s="28"/>
      <c r="C158" s="73"/>
      <c r="D158" s="73"/>
      <c r="E158" s="74"/>
      <c r="F158" s="74"/>
      <c r="G158" s="74"/>
      <c r="H158" s="74"/>
      <c r="I158" s="74"/>
      <c r="J158" s="75"/>
      <c r="K158" s="29"/>
      <c r="L158" s="32"/>
      <c r="M158" s="33"/>
    </row>
    <row r="159" spans="1:13" ht="16.5" hidden="1">
      <c r="A159" s="28"/>
      <c r="B159" s="40"/>
      <c r="C159" s="90" t="s">
        <v>5</v>
      </c>
      <c r="D159" s="90"/>
      <c r="E159" s="41"/>
      <c r="F159" s="42"/>
      <c r="G159" s="42"/>
      <c r="H159" s="42" t="s">
        <v>28</v>
      </c>
      <c r="I159" s="43"/>
      <c r="J159" s="91" t="s">
        <v>29</v>
      </c>
      <c r="K159" s="91"/>
      <c r="L159" s="91"/>
      <c r="M159" s="44"/>
    </row>
    <row r="160" spans="1:13" ht="16.5" hidden="1">
      <c r="A160" s="28"/>
      <c r="B160" s="40"/>
      <c r="C160" s="45"/>
      <c r="D160" s="64"/>
      <c r="E160" s="41"/>
      <c r="F160" s="42"/>
      <c r="G160" s="42"/>
      <c r="H160" s="46"/>
      <c r="I160" s="43"/>
      <c r="J160" s="47"/>
      <c r="K160" s="47"/>
      <c r="L160" s="48"/>
      <c r="M160" s="44"/>
    </row>
    <row r="161" spans="1:13" ht="16.5" hidden="1">
      <c r="A161" s="28"/>
      <c r="B161" s="49"/>
      <c r="C161" s="90" t="s">
        <v>30</v>
      </c>
      <c r="D161" s="90"/>
      <c r="E161" s="41"/>
      <c r="F161" s="42"/>
      <c r="G161" s="42"/>
      <c r="H161" s="42" t="s">
        <v>38</v>
      </c>
      <c r="I161" s="43"/>
      <c r="J161" s="91" t="s">
        <v>39</v>
      </c>
      <c r="K161" s="91"/>
      <c r="L161" s="91"/>
      <c r="M161" s="20"/>
    </row>
    <row r="162" spans="1:13" ht="16.5" hidden="1">
      <c r="A162" s="28"/>
      <c r="B162" s="49"/>
      <c r="C162" s="92" t="s">
        <v>40</v>
      </c>
      <c r="D162" s="93"/>
      <c r="E162" s="41"/>
      <c r="F162" s="50"/>
      <c r="G162" s="50"/>
      <c r="H162" s="50" t="s">
        <v>36</v>
      </c>
      <c r="I162" s="43"/>
      <c r="J162" s="94" t="s">
        <v>37</v>
      </c>
      <c r="K162" s="94"/>
      <c r="L162" s="94"/>
      <c r="M162" s="27"/>
    </row>
    <row r="163" spans="2:13" ht="15.75" hidden="1">
      <c r="B163" s="58" t="s">
        <v>34</v>
      </c>
      <c r="C163" s="51"/>
      <c r="D163" s="51"/>
      <c r="E163" s="51"/>
      <c r="F163" s="52"/>
      <c r="G163" s="52"/>
      <c r="H163" s="30"/>
      <c r="I163" s="51"/>
      <c r="J163" s="52"/>
      <c r="K163" s="51"/>
      <c r="L163" s="51"/>
      <c r="M163" s="27"/>
    </row>
    <row r="164" spans="2:13" ht="15.75">
      <c r="B164" s="109" t="s">
        <v>26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 ht="9.75" customHeight="1">
      <c r="B165" s="7"/>
      <c r="C165" s="5"/>
      <c r="D165" s="5"/>
      <c r="E165" s="5"/>
      <c r="F165" s="5"/>
      <c r="G165" s="5"/>
      <c r="H165" s="19"/>
      <c r="I165" s="5"/>
      <c r="J165" s="5"/>
      <c r="K165" s="5"/>
      <c r="L165" s="5"/>
      <c r="M165" s="19"/>
    </row>
    <row r="166" spans="2:13" ht="15.75">
      <c r="B166" s="109" t="s">
        <v>6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 ht="16.5">
      <c r="B167" s="110" t="s">
        <v>41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2:13" ht="16.5">
      <c r="B168" s="111" t="s">
        <v>72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2:13" ht="15.75">
      <c r="B169" s="3" t="s">
        <v>15</v>
      </c>
      <c r="C169" s="4"/>
      <c r="D169" s="4"/>
      <c r="E169" s="4"/>
      <c r="F169" s="4"/>
      <c r="G169" s="4"/>
      <c r="H169" s="6"/>
      <c r="I169" s="4"/>
      <c r="J169" s="4"/>
      <c r="K169" s="4"/>
      <c r="L169" s="4"/>
      <c r="M169" s="6"/>
    </row>
    <row r="170" spans="3:12" ht="13.5">
      <c r="C170" s="2"/>
      <c r="D170" s="112" t="s">
        <v>1</v>
      </c>
      <c r="E170" s="112"/>
      <c r="F170" s="113"/>
      <c r="G170" s="113"/>
      <c r="H170" s="113"/>
      <c r="I170" s="112" t="s">
        <v>2</v>
      </c>
      <c r="J170" s="112"/>
      <c r="K170" s="112"/>
      <c r="L170" s="112"/>
    </row>
    <row r="171" spans="2:13" ht="23.25" customHeight="1">
      <c r="B171" s="106" t="s">
        <v>8</v>
      </c>
      <c r="C171" s="108" t="s">
        <v>12</v>
      </c>
      <c r="D171" s="108" t="s">
        <v>13</v>
      </c>
      <c r="E171" s="108" t="s">
        <v>16</v>
      </c>
      <c r="F171" s="100" t="s">
        <v>14</v>
      </c>
      <c r="G171" s="70"/>
      <c r="H171" s="100" t="s">
        <v>0</v>
      </c>
      <c r="I171" s="100" t="s">
        <v>22</v>
      </c>
      <c r="J171" s="100" t="s">
        <v>23</v>
      </c>
      <c r="K171" s="100" t="s">
        <v>24</v>
      </c>
      <c r="L171" s="100" t="s">
        <v>25</v>
      </c>
      <c r="M171" s="72" t="s">
        <v>9</v>
      </c>
    </row>
    <row r="172" spans="2:13" ht="32.25" customHeight="1">
      <c r="B172" s="107"/>
      <c r="C172" s="108"/>
      <c r="D172" s="108"/>
      <c r="E172" s="108"/>
      <c r="F172" s="100"/>
      <c r="G172" s="70"/>
      <c r="H172" s="100"/>
      <c r="I172" s="100"/>
      <c r="J172" s="100"/>
      <c r="K172" s="100"/>
      <c r="L172" s="100"/>
      <c r="M172" s="1" t="s">
        <v>10</v>
      </c>
    </row>
    <row r="173" spans="2:16" ht="12.75">
      <c r="B173" s="8" t="s">
        <v>35</v>
      </c>
      <c r="C173" s="9">
        <f>SUM(C174:C179)</f>
        <v>10569638.75</v>
      </c>
      <c r="D173" s="9">
        <f>SUM(D174:D179)</f>
        <v>9041825.24</v>
      </c>
      <c r="E173" s="9">
        <f>SUM(E174:E179)</f>
        <v>566.74</v>
      </c>
      <c r="F173" s="9">
        <f>SUM(F174:F179)</f>
        <v>7263795.16</v>
      </c>
      <c r="G173" s="9">
        <f aca="true" t="shared" si="21" ref="G173:G179">D173+E173-F173</f>
        <v>1778596.8200000003</v>
      </c>
      <c r="H173" s="21">
        <f>F173/(D173+E173)</f>
        <v>0.8033046096725392</v>
      </c>
      <c r="I173" s="9">
        <f>SUM(I174:I179)</f>
        <v>1575902.67</v>
      </c>
      <c r="J173" s="9">
        <f>SUM(J174:J179)</f>
        <v>223043.28</v>
      </c>
      <c r="K173" s="9">
        <f>SUM(K174:K179)</f>
        <v>27941</v>
      </c>
      <c r="L173" s="9">
        <f>I173+J173-K173</f>
        <v>1771004.95</v>
      </c>
      <c r="M173" s="25">
        <f>F173/C173</f>
        <v>0.6872321118827264</v>
      </c>
      <c r="N173" s="17"/>
      <c r="P173" s="17"/>
    </row>
    <row r="174" spans="2:16" ht="15.75" customHeight="1">
      <c r="B174" s="11" t="s">
        <v>17</v>
      </c>
      <c r="C174" s="12">
        <v>3522582.85</v>
      </c>
      <c r="D174" s="12">
        <v>3751066.12</v>
      </c>
      <c r="E174" s="12">
        <v>566.74</v>
      </c>
      <c r="F174" s="12">
        <v>7263795.16</v>
      </c>
      <c r="G174" s="12">
        <f>D174+E174-F174</f>
        <v>-3512162.3</v>
      </c>
      <c r="H174" s="21"/>
      <c r="I174" s="12">
        <f>1275446.42+300456.25</f>
        <v>1575902.67</v>
      </c>
      <c r="J174" s="12">
        <f>1794+205000+16249.28</f>
        <v>223043.28</v>
      </c>
      <c r="K174" s="12">
        <f>27941</f>
        <v>27941</v>
      </c>
      <c r="L174" s="10">
        <f>I174+J174-K174</f>
        <v>1771004.95</v>
      </c>
      <c r="M174" s="23"/>
      <c r="P174" s="14"/>
    </row>
    <row r="175" spans="2:13" ht="12.75">
      <c r="B175" s="11" t="s">
        <v>18</v>
      </c>
      <c r="C175" s="12">
        <v>6347999.9</v>
      </c>
      <c r="D175" s="12">
        <v>3987547.94</v>
      </c>
      <c r="E175" s="12">
        <v>0</v>
      </c>
      <c r="F175" s="12">
        <v>0</v>
      </c>
      <c r="G175" s="12">
        <f t="shared" si="21"/>
        <v>3987547.94</v>
      </c>
      <c r="H175" s="21"/>
      <c r="I175" s="12">
        <v>0</v>
      </c>
      <c r="J175" s="12">
        <v>0</v>
      </c>
      <c r="K175" s="12">
        <v>0</v>
      </c>
      <c r="L175" s="10">
        <v>0</v>
      </c>
      <c r="M175" s="23"/>
    </row>
    <row r="176" spans="2:13" ht="12.75">
      <c r="B176" s="11" t="s">
        <v>19</v>
      </c>
      <c r="C176" s="12">
        <v>696356</v>
      </c>
      <c r="D176" s="12">
        <v>857536.18</v>
      </c>
      <c r="E176" s="12">
        <v>0</v>
      </c>
      <c r="F176" s="12">
        <v>0</v>
      </c>
      <c r="G176" s="12">
        <f t="shared" si="21"/>
        <v>857536.18</v>
      </c>
      <c r="H176" s="21"/>
      <c r="I176" s="12">
        <v>0</v>
      </c>
      <c r="J176" s="12">
        <v>0</v>
      </c>
      <c r="K176" s="12">
        <v>0</v>
      </c>
      <c r="L176" s="10">
        <v>0</v>
      </c>
      <c r="M176" s="23"/>
    </row>
    <row r="177" spans="2:13" ht="12.75">
      <c r="B177" s="11" t="s">
        <v>20</v>
      </c>
      <c r="C177" s="12">
        <v>0</v>
      </c>
      <c r="D177" s="12">
        <v>445675</v>
      </c>
      <c r="E177" s="12">
        <v>0</v>
      </c>
      <c r="F177" s="12">
        <v>0</v>
      </c>
      <c r="G177" s="12">
        <f t="shared" si="21"/>
        <v>445675</v>
      </c>
      <c r="H177" s="21"/>
      <c r="I177" s="12">
        <v>0</v>
      </c>
      <c r="J177" s="12">
        <v>0</v>
      </c>
      <c r="K177" s="12">
        <v>0</v>
      </c>
      <c r="L177" s="10">
        <v>0</v>
      </c>
      <c r="M177" s="23"/>
    </row>
    <row r="178" spans="2:13" ht="15.75" customHeight="1">
      <c r="B178" s="11" t="s">
        <v>21</v>
      </c>
      <c r="C178" s="12">
        <v>0</v>
      </c>
      <c r="D178" s="12">
        <v>0</v>
      </c>
      <c r="E178" s="12">
        <v>0</v>
      </c>
      <c r="F178" s="12">
        <v>0</v>
      </c>
      <c r="G178" s="12">
        <f t="shared" si="21"/>
        <v>0</v>
      </c>
      <c r="H178" s="21"/>
      <c r="I178" s="12">
        <v>0</v>
      </c>
      <c r="J178" s="12">
        <v>0</v>
      </c>
      <c r="K178" s="12">
        <v>0</v>
      </c>
      <c r="L178" s="10">
        <v>0</v>
      </c>
      <c r="M178" s="23"/>
    </row>
    <row r="179" spans="2:13" ht="12.75">
      <c r="B179" s="11" t="s">
        <v>51</v>
      </c>
      <c r="C179" s="12">
        <v>2700</v>
      </c>
      <c r="D179" s="12">
        <v>0</v>
      </c>
      <c r="E179" s="12">
        <v>0</v>
      </c>
      <c r="F179" s="12">
        <v>0</v>
      </c>
      <c r="G179" s="12">
        <f t="shared" si="21"/>
        <v>0</v>
      </c>
      <c r="H179" s="21"/>
      <c r="I179" s="12">
        <v>0</v>
      </c>
      <c r="J179" s="12">
        <v>0</v>
      </c>
      <c r="K179" s="12">
        <v>0</v>
      </c>
      <c r="L179" s="10">
        <v>0</v>
      </c>
      <c r="M179" s="23"/>
    </row>
    <row r="180" spans="2:14" ht="15.75" customHeight="1">
      <c r="B180" s="8" t="s">
        <v>27</v>
      </c>
      <c r="C180" s="9">
        <f>SUM(C181:C193)</f>
        <v>79745401.78</v>
      </c>
      <c r="D180" s="9">
        <f>SUM(D181:D194)</f>
        <v>69796751.63000001</v>
      </c>
      <c r="E180" s="9">
        <f>SUM(E181:E193)</f>
        <v>0.5</v>
      </c>
      <c r="F180" s="9">
        <f>SUM(F181:F193)</f>
        <v>48697700.510000005</v>
      </c>
      <c r="G180" s="9">
        <f>SUM(G181:G193)</f>
        <v>21058317.830000006</v>
      </c>
      <c r="H180" s="21"/>
      <c r="I180" s="9">
        <f>SUM(I181:I194)</f>
        <v>20932650.76</v>
      </c>
      <c r="J180" s="9">
        <f>SUM(J181:J194)</f>
        <v>883924.97</v>
      </c>
      <c r="K180" s="9">
        <f>SUM(K181:K194)</f>
        <v>744402.76</v>
      </c>
      <c r="L180" s="9">
        <f>SUM(L181:L194)</f>
        <v>21072172.970000003</v>
      </c>
      <c r="M180" s="25"/>
      <c r="N180" s="17"/>
    </row>
    <row r="181" spans="2:14" ht="12.75">
      <c r="B181" s="11" t="s">
        <v>54</v>
      </c>
      <c r="C181" s="12">
        <v>26444293</v>
      </c>
      <c r="D181" s="12">
        <v>19206286.03</v>
      </c>
      <c r="E181" s="12">
        <v>0</v>
      </c>
      <c r="F181" s="12">
        <v>19609672.95</v>
      </c>
      <c r="G181" s="12">
        <f>D181+E181-F181</f>
        <v>-403386.91999999806</v>
      </c>
      <c r="H181" s="21">
        <f aca="true" t="shared" si="22" ref="H181:H192">F181/(D181+E181)</f>
        <v>1.0210028591352807</v>
      </c>
      <c r="I181" s="12">
        <v>96667.24</v>
      </c>
      <c r="J181" s="12">
        <f>1322.56</f>
        <v>1322.56</v>
      </c>
      <c r="K181" s="12">
        <f>75627.82+53592+205000+1220+158254.55</f>
        <v>493694.37</v>
      </c>
      <c r="L181" s="10">
        <f>I181+J181-K181</f>
        <v>-395704.57</v>
      </c>
      <c r="M181" s="25">
        <f>F181/C181</f>
        <v>0.7415465011675676</v>
      </c>
      <c r="N181" s="17"/>
    </row>
    <row r="182" spans="2:14" ht="15.75" customHeight="1">
      <c r="B182" s="11" t="s">
        <v>55</v>
      </c>
      <c r="C182" s="12">
        <v>12591512</v>
      </c>
      <c r="D182" s="12">
        <v>12591514</v>
      </c>
      <c r="E182" s="12">
        <v>0.31</v>
      </c>
      <c r="F182" s="12">
        <v>4636419.05</v>
      </c>
      <c r="G182" s="12">
        <f>D182+E182-F182</f>
        <v>7955095.260000001</v>
      </c>
      <c r="H182" s="21">
        <f t="shared" si="22"/>
        <v>0.36821774854497225</v>
      </c>
      <c r="I182" s="12">
        <v>7824285.35</v>
      </c>
      <c r="J182" s="12">
        <v>178127.69</v>
      </c>
      <c r="K182" s="12">
        <f>15772.6+31545.18</f>
        <v>47317.78</v>
      </c>
      <c r="L182" s="10">
        <f>I182+J182-K182</f>
        <v>7955095.26</v>
      </c>
      <c r="M182" s="25">
        <f aca="true" t="shared" si="23" ref="M182:M190">F182/C182</f>
        <v>0.368217816097066</v>
      </c>
      <c r="N182" s="17"/>
    </row>
    <row r="183" spans="1:15" s="68" customFormat="1" ht="12.75">
      <c r="A183" s="2"/>
      <c r="B183" s="11" t="s">
        <v>56</v>
      </c>
      <c r="C183" s="12">
        <v>25407614</v>
      </c>
      <c r="D183" s="12">
        <v>21173012</v>
      </c>
      <c r="E183" s="12">
        <v>0</v>
      </c>
      <c r="F183" s="12">
        <v>18232818.94</v>
      </c>
      <c r="G183" s="12">
        <f>D183+E183-F183</f>
        <v>2940193.0599999987</v>
      </c>
      <c r="H183" s="21">
        <f t="shared" si="22"/>
        <v>0.8611348701828536</v>
      </c>
      <c r="I183" s="12">
        <v>2973717.77</v>
      </c>
      <c r="J183" s="12">
        <f>701.8+1220</f>
        <v>1921.8</v>
      </c>
      <c r="K183" s="12">
        <f>7400+27996.37</f>
        <v>35396.369999999995</v>
      </c>
      <c r="L183" s="10">
        <f aca="true" t="shared" si="24" ref="L183:L192">I183+J183-K183</f>
        <v>2940243.1999999997</v>
      </c>
      <c r="M183" s="25">
        <f t="shared" si="23"/>
        <v>0.7176124031166407</v>
      </c>
      <c r="N183" s="17"/>
      <c r="O183" s="80"/>
    </row>
    <row r="184" spans="2:14" ht="15.75" customHeight="1">
      <c r="B184" s="11" t="s">
        <v>57</v>
      </c>
      <c r="C184" s="12">
        <v>1057470</v>
      </c>
      <c r="D184" s="12">
        <v>785488.3</v>
      </c>
      <c r="E184" s="12">
        <v>0</v>
      </c>
      <c r="F184" s="12">
        <v>0</v>
      </c>
      <c r="G184" s="12">
        <f>D184+E184-F184</f>
        <v>785488.3</v>
      </c>
      <c r="H184" s="21">
        <f t="shared" si="22"/>
        <v>0</v>
      </c>
      <c r="I184" s="12">
        <v>804546.12</v>
      </c>
      <c r="J184" s="12">
        <v>0</v>
      </c>
      <c r="K184" s="12">
        <v>19057.82</v>
      </c>
      <c r="L184" s="10">
        <f>I184+J184-K184</f>
        <v>785488.3</v>
      </c>
      <c r="M184" s="25">
        <f t="shared" si="23"/>
        <v>0</v>
      </c>
      <c r="N184" s="17"/>
    </row>
    <row r="185" spans="2:14" ht="12.75">
      <c r="B185" s="11" t="s">
        <v>58</v>
      </c>
      <c r="C185" s="12">
        <v>12329603</v>
      </c>
      <c r="D185" s="12">
        <v>10244303.96</v>
      </c>
      <c r="E185" s="12">
        <v>0.19</v>
      </c>
      <c r="F185" s="12">
        <f>5247764.6</f>
        <v>5247764.6</v>
      </c>
      <c r="G185" s="12">
        <f>D185+E185-F185</f>
        <v>4996539.550000001</v>
      </c>
      <c r="H185" s="21">
        <f t="shared" si="22"/>
        <v>0.512261694221564</v>
      </c>
      <c r="I185" s="12">
        <v>5040583.93</v>
      </c>
      <c r="J185" s="12"/>
      <c r="K185" s="12">
        <f>6122.65+29857.24+1941.84</f>
        <v>37921.729999999996</v>
      </c>
      <c r="L185" s="10">
        <f t="shared" si="24"/>
        <v>5002662.199999999</v>
      </c>
      <c r="M185" s="25">
        <f t="shared" si="23"/>
        <v>0.42562316077816936</v>
      </c>
      <c r="N185" s="17"/>
    </row>
    <row r="186" spans="2:14" ht="15.75" customHeight="1">
      <c r="B186" s="11" t="s">
        <v>59</v>
      </c>
      <c r="C186" s="12">
        <v>1167126</v>
      </c>
      <c r="D186" s="12">
        <v>682331.54</v>
      </c>
      <c r="E186" s="12">
        <v>0</v>
      </c>
      <c r="F186" s="12">
        <v>469228.2</v>
      </c>
      <c r="G186" s="12">
        <f aca="true" t="shared" si="25" ref="G186:G208">D186+E186-F186</f>
        <v>213103.34000000003</v>
      </c>
      <c r="H186" s="21">
        <f t="shared" si="22"/>
        <v>0.6876835856070789</v>
      </c>
      <c r="I186" s="12">
        <v>279458.74</v>
      </c>
      <c r="J186" s="12">
        <v>0</v>
      </c>
      <c r="K186" s="12">
        <f>33177.7+33177.7</f>
        <v>66355.4</v>
      </c>
      <c r="L186" s="10">
        <f t="shared" si="24"/>
        <v>213103.34</v>
      </c>
      <c r="M186" s="25">
        <f t="shared" si="23"/>
        <v>0.40203731216680977</v>
      </c>
      <c r="N186" s="17"/>
    </row>
    <row r="187" spans="2:14" ht="12.75">
      <c r="B187" s="11" t="s">
        <v>60</v>
      </c>
      <c r="C187" s="12">
        <v>161698</v>
      </c>
      <c r="D187" s="12">
        <v>230175.57</v>
      </c>
      <c r="E187" s="12">
        <v>0</v>
      </c>
      <c r="F187" s="12">
        <v>0</v>
      </c>
      <c r="G187" s="12">
        <f t="shared" si="25"/>
        <v>230175.57</v>
      </c>
      <c r="H187" s="21">
        <f t="shared" si="22"/>
        <v>0</v>
      </c>
      <c r="I187" s="12">
        <v>230175.57</v>
      </c>
      <c r="J187" s="12">
        <v>0</v>
      </c>
      <c r="K187" s="12"/>
      <c r="L187" s="10">
        <f t="shared" si="24"/>
        <v>230175.57</v>
      </c>
      <c r="M187" s="25">
        <f t="shared" si="23"/>
        <v>0</v>
      </c>
      <c r="N187" s="17"/>
    </row>
    <row r="188" spans="2:14" ht="12.75">
      <c r="B188" s="11" t="s">
        <v>61</v>
      </c>
      <c r="C188" s="12">
        <v>44192</v>
      </c>
      <c r="D188" s="12">
        <v>36826.34</v>
      </c>
      <c r="E188" s="12">
        <v>0</v>
      </c>
      <c r="F188" s="12">
        <v>23559.2</v>
      </c>
      <c r="G188" s="12">
        <f t="shared" si="25"/>
        <v>13267.139999999996</v>
      </c>
      <c r="H188" s="21">
        <f t="shared" si="22"/>
        <v>0.6397377529235868</v>
      </c>
      <c r="I188" s="12">
        <v>13267.14</v>
      </c>
      <c r="J188" s="12">
        <v>0</v>
      </c>
      <c r="K188" s="12">
        <v>0</v>
      </c>
      <c r="L188" s="10">
        <f t="shared" si="24"/>
        <v>13267.14</v>
      </c>
      <c r="M188" s="25">
        <f t="shared" si="23"/>
        <v>0.5331100651701666</v>
      </c>
      <c r="N188" s="17"/>
    </row>
    <row r="189" spans="2:14" ht="12.75">
      <c r="B189" s="11" t="s">
        <v>62</v>
      </c>
      <c r="C189" s="12">
        <v>439401</v>
      </c>
      <c r="D189" s="12">
        <v>347445.86</v>
      </c>
      <c r="E189" s="12">
        <v>0</v>
      </c>
      <c r="F189" s="12">
        <v>0</v>
      </c>
      <c r="G189" s="12">
        <f t="shared" si="25"/>
        <v>347445.86</v>
      </c>
      <c r="H189" s="21">
        <f t="shared" si="22"/>
        <v>0</v>
      </c>
      <c r="I189" s="12">
        <v>347445.86</v>
      </c>
      <c r="J189" s="12">
        <v>0</v>
      </c>
      <c r="K189" s="12">
        <v>0</v>
      </c>
      <c r="L189" s="10">
        <f t="shared" si="24"/>
        <v>347445.86</v>
      </c>
      <c r="M189" s="25">
        <f t="shared" si="23"/>
        <v>0</v>
      </c>
      <c r="N189" s="17"/>
    </row>
    <row r="190" spans="2:14" ht="12.75">
      <c r="B190" s="11" t="s">
        <v>63</v>
      </c>
      <c r="C190" s="12">
        <v>102492.78</v>
      </c>
      <c r="D190" s="12">
        <v>309662.39</v>
      </c>
      <c r="E190" s="12">
        <v>0</v>
      </c>
      <c r="F190" s="12">
        <v>18560</v>
      </c>
      <c r="G190" s="12">
        <f t="shared" si="25"/>
        <v>291102.39</v>
      </c>
      <c r="H190" s="21">
        <f t="shared" si="22"/>
        <v>0.05993624217652004</v>
      </c>
      <c r="I190" s="12">
        <v>83932.78</v>
      </c>
      <c r="J190" s="12">
        <f>158254.55+29857.24+19057.82</f>
        <v>207169.61</v>
      </c>
      <c r="K190" s="12">
        <v>0</v>
      </c>
      <c r="L190" s="10">
        <f t="shared" si="24"/>
        <v>291102.39</v>
      </c>
      <c r="M190" s="25">
        <f t="shared" si="23"/>
        <v>0.18108592624768302</v>
      </c>
      <c r="N190" s="17"/>
    </row>
    <row r="191" spans="2:14" ht="12.75">
      <c r="B191" s="11" t="s">
        <v>65</v>
      </c>
      <c r="C191" s="12">
        <v>0</v>
      </c>
      <c r="D191" s="12">
        <v>1928854</v>
      </c>
      <c r="E191" s="12"/>
      <c r="F191" s="12">
        <v>156106</v>
      </c>
      <c r="G191" s="12">
        <f t="shared" si="25"/>
        <v>1772748</v>
      </c>
      <c r="H191" s="21">
        <f t="shared" si="22"/>
        <v>0.08093199381601718</v>
      </c>
      <c r="I191" s="12">
        <v>1772748</v>
      </c>
      <c r="J191" s="12">
        <v>0</v>
      </c>
      <c r="K191" s="12">
        <v>0</v>
      </c>
      <c r="L191" s="10">
        <f t="shared" si="24"/>
        <v>1772748</v>
      </c>
      <c r="M191" s="25">
        <v>0</v>
      </c>
      <c r="N191" s="17"/>
    </row>
    <row r="192" spans="2:14" ht="12.75">
      <c r="B192" s="11" t="s">
        <v>67</v>
      </c>
      <c r="C192" s="12">
        <v>0</v>
      </c>
      <c r="D192" s="12">
        <v>1110591</v>
      </c>
      <c r="E192" s="12">
        <v>0</v>
      </c>
      <c r="F192" s="12">
        <v>303571.57</v>
      </c>
      <c r="G192" s="12">
        <f t="shared" si="25"/>
        <v>807019.4299999999</v>
      </c>
      <c r="H192" s="21">
        <f t="shared" si="22"/>
        <v>0.2733423645608509</v>
      </c>
      <c r="I192" s="12">
        <v>315561.62</v>
      </c>
      <c r="J192" s="12">
        <v>495383.31</v>
      </c>
      <c r="K192" s="12">
        <f>1308.5+2617</f>
        <v>3925.5</v>
      </c>
      <c r="L192" s="10">
        <f t="shared" si="24"/>
        <v>807019.4299999999</v>
      </c>
      <c r="M192" s="25">
        <v>0</v>
      </c>
      <c r="N192" s="17"/>
    </row>
    <row r="193" spans="2:16" ht="12.75">
      <c r="B193" s="11" t="s">
        <v>70</v>
      </c>
      <c r="C193" s="12">
        <v>0</v>
      </c>
      <c r="D193" s="12">
        <v>1109526.85</v>
      </c>
      <c r="E193" s="12"/>
      <c r="F193" s="12">
        <v>0</v>
      </c>
      <c r="G193" s="12">
        <f t="shared" si="25"/>
        <v>1109526.85</v>
      </c>
      <c r="H193" s="21"/>
      <c r="I193" s="12">
        <v>1109526.85</v>
      </c>
      <c r="J193" s="12">
        <v>0</v>
      </c>
      <c r="K193" s="12">
        <v>0</v>
      </c>
      <c r="L193" s="10">
        <f>I193+J193-K193</f>
        <v>1109526.85</v>
      </c>
      <c r="M193" s="25">
        <v>0</v>
      </c>
      <c r="N193" s="17"/>
      <c r="P193" s="17"/>
    </row>
    <row r="194" spans="2:16" ht="12.75">
      <c r="B194" s="11" t="s">
        <v>73</v>
      </c>
      <c r="C194" s="12">
        <v>0</v>
      </c>
      <c r="D194" s="12">
        <v>40733.79</v>
      </c>
      <c r="E194" s="12"/>
      <c r="F194" s="12"/>
      <c r="G194" s="12"/>
      <c r="H194" s="21"/>
      <c r="I194" s="12">
        <v>40733.79</v>
      </c>
      <c r="J194" s="12">
        <v>0</v>
      </c>
      <c r="K194" s="12">
        <v>40733.79</v>
      </c>
      <c r="L194" s="10">
        <f>I194+J194-K194</f>
        <v>0</v>
      </c>
      <c r="M194" s="25">
        <v>0</v>
      </c>
      <c r="N194" s="17"/>
      <c r="P194" s="17"/>
    </row>
    <row r="195" spans="2:13" ht="12.75">
      <c r="B195" s="8" t="s">
        <v>33</v>
      </c>
      <c r="C195" s="9">
        <f>SUM(C196:C206)</f>
        <v>6584416.71</v>
      </c>
      <c r="D195" s="9">
        <f>SUM(D196:D206)</f>
        <v>131433.9</v>
      </c>
      <c r="E195" s="9">
        <f>SUM(E196:E207)</f>
        <v>2818.89</v>
      </c>
      <c r="F195" s="9">
        <f>SUM(F196:F207)</f>
        <v>6377917.33</v>
      </c>
      <c r="G195" s="9">
        <f t="shared" si="25"/>
        <v>-6243664.54</v>
      </c>
      <c r="H195" s="22"/>
      <c r="I195" s="9">
        <f>SUM(I196:I207)</f>
        <v>713153.1699999999</v>
      </c>
      <c r="J195" s="9">
        <f>SUM(J196:J207)</f>
        <v>16108.400000000001</v>
      </c>
      <c r="K195" s="9">
        <f>SUM(K196:K207)</f>
        <v>1051911.61</v>
      </c>
      <c r="L195" s="9">
        <f>SUM(L196:L207)</f>
        <v>168003.27999999997</v>
      </c>
      <c r="M195" s="25">
        <v>0</v>
      </c>
    </row>
    <row r="196" spans="2:13" ht="12.75">
      <c r="B196" s="11" t="s">
        <v>42</v>
      </c>
      <c r="C196" s="12">
        <v>160009.44</v>
      </c>
      <c r="D196" s="12">
        <v>122861.9</v>
      </c>
      <c r="E196" s="12">
        <v>119.08</v>
      </c>
      <c r="F196" s="12">
        <v>152995.34</v>
      </c>
      <c r="G196" s="12">
        <f t="shared" si="25"/>
        <v>-30014.36</v>
      </c>
      <c r="H196" s="24"/>
      <c r="I196" s="12">
        <v>35500.74</v>
      </c>
      <c r="J196" s="12">
        <v>0</v>
      </c>
      <c r="K196" s="12">
        <v>0</v>
      </c>
      <c r="L196" s="10">
        <v>0</v>
      </c>
      <c r="M196" s="23">
        <f aca="true" t="shared" si="26" ref="M196:M206">F196/C196</f>
        <v>0.9561644612967835</v>
      </c>
    </row>
    <row r="197" spans="2:13" ht="12.75">
      <c r="B197" s="11" t="s">
        <v>43</v>
      </c>
      <c r="C197" s="12">
        <v>439871.16</v>
      </c>
      <c r="D197" s="12">
        <v>0</v>
      </c>
      <c r="E197" s="12">
        <v>71.41</v>
      </c>
      <c r="F197" s="12">
        <v>439871.16</v>
      </c>
      <c r="G197" s="12">
        <f t="shared" si="25"/>
        <v>-439799.75</v>
      </c>
      <c r="H197" s="24"/>
      <c r="I197" s="12">
        <v>0</v>
      </c>
      <c r="J197" s="12">
        <f>1368.8+1794</f>
        <v>3162.8</v>
      </c>
      <c r="K197" s="12">
        <v>0</v>
      </c>
      <c r="L197" s="10">
        <f aca="true" t="shared" si="27" ref="L197:L206">I197+J197-K197</f>
        <v>3162.8</v>
      </c>
      <c r="M197" s="23">
        <f t="shared" si="26"/>
        <v>1</v>
      </c>
    </row>
    <row r="198" spans="2:16" ht="12.75">
      <c r="B198" s="11" t="s">
        <v>44</v>
      </c>
      <c r="C198" s="12">
        <v>354507.28</v>
      </c>
      <c r="D198" s="12">
        <v>8572</v>
      </c>
      <c r="E198" s="12">
        <v>81.07</v>
      </c>
      <c r="F198" s="12">
        <v>354588.35</v>
      </c>
      <c r="G198" s="12">
        <f t="shared" si="25"/>
        <v>-345935.27999999997</v>
      </c>
      <c r="H198" s="24"/>
      <c r="I198" s="12">
        <v>0</v>
      </c>
      <c r="J198" s="12">
        <v>0</v>
      </c>
      <c r="K198" s="12">
        <v>0</v>
      </c>
      <c r="L198" s="10">
        <f t="shared" si="27"/>
        <v>0</v>
      </c>
      <c r="M198" s="23">
        <f t="shared" si="26"/>
        <v>1.0002286835971321</v>
      </c>
      <c r="P198" s="17"/>
    </row>
    <row r="199" spans="2:13" ht="12.75">
      <c r="B199" s="11" t="s">
        <v>45</v>
      </c>
      <c r="C199" s="12">
        <v>1002913.77</v>
      </c>
      <c r="D199" s="12">
        <v>0</v>
      </c>
      <c r="E199" s="12">
        <v>384.78</v>
      </c>
      <c r="F199" s="12">
        <v>1002913.77</v>
      </c>
      <c r="G199" s="12">
        <f t="shared" si="25"/>
        <v>-1002528.99</v>
      </c>
      <c r="H199" s="24"/>
      <c r="I199" s="12">
        <v>0</v>
      </c>
      <c r="J199" s="12">
        <v>0</v>
      </c>
      <c r="K199" s="12">
        <v>0</v>
      </c>
      <c r="L199" s="10">
        <f t="shared" si="27"/>
        <v>0</v>
      </c>
      <c r="M199" s="23">
        <f t="shared" si="26"/>
        <v>1</v>
      </c>
    </row>
    <row r="200" spans="2:13" ht="15.75" customHeight="1">
      <c r="B200" s="11" t="s">
        <v>46</v>
      </c>
      <c r="C200" s="12">
        <v>41804.34</v>
      </c>
      <c r="D200" s="12">
        <v>0</v>
      </c>
      <c r="E200" s="12">
        <v>8.51</v>
      </c>
      <c r="F200" s="12">
        <v>41811.06</v>
      </c>
      <c r="G200" s="12">
        <f t="shared" si="25"/>
        <v>-41802.549999999996</v>
      </c>
      <c r="H200" s="24"/>
      <c r="I200" s="12">
        <v>0</v>
      </c>
      <c r="J200" s="12">
        <v>0</v>
      </c>
      <c r="K200" s="12">
        <v>0</v>
      </c>
      <c r="L200" s="10">
        <f t="shared" si="27"/>
        <v>0</v>
      </c>
      <c r="M200" s="23">
        <f t="shared" si="26"/>
        <v>1.0001607488600466</v>
      </c>
    </row>
    <row r="201" spans="2:13" ht="12.75">
      <c r="B201" s="11" t="s">
        <v>47</v>
      </c>
      <c r="C201" s="12">
        <v>92195.51</v>
      </c>
      <c r="D201" s="12">
        <v>0</v>
      </c>
      <c r="E201" s="12">
        <v>6.49</v>
      </c>
      <c r="F201" s="12">
        <v>92195.51</v>
      </c>
      <c r="G201" s="12">
        <f t="shared" si="25"/>
        <v>-92189.01999999999</v>
      </c>
      <c r="H201" s="24"/>
      <c r="I201" s="12">
        <v>0</v>
      </c>
      <c r="J201" s="12">
        <v>0</v>
      </c>
      <c r="K201" s="12">
        <v>0</v>
      </c>
      <c r="L201" s="10">
        <f t="shared" si="27"/>
        <v>0</v>
      </c>
      <c r="M201" s="23">
        <f t="shared" si="26"/>
        <v>1</v>
      </c>
    </row>
    <row r="202" spans="2:13" ht="12.75">
      <c r="B202" s="11" t="s">
        <v>48</v>
      </c>
      <c r="C202" s="12">
        <v>21421.27</v>
      </c>
      <c r="D202" s="12">
        <v>0</v>
      </c>
      <c r="E202" s="12">
        <v>3.02</v>
      </c>
      <c r="F202" s="12">
        <v>21421.27</v>
      </c>
      <c r="G202" s="12">
        <f t="shared" si="25"/>
        <v>-21418.25</v>
      </c>
      <c r="H202" s="24"/>
      <c r="I202" s="12">
        <v>0</v>
      </c>
      <c r="J202" s="12">
        <v>0</v>
      </c>
      <c r="K202" s="12">
        <v>0</v>
      </c>
      <c r="L202" s="10">
        <f t="shared" si="27"/>
        <v>0</v>
      </c>
      <c r="M202" s="23">
        <f t="shared" si="26"/>
        <v>1</v>
      </c>
    </row>
    <row r="203" spans="2:13" ht="12.75">
      <c r="B203" s="11" t="s">
        <v>49</v>
      </c>
      <c r="C203" s="12">
        <v>4228.4</v>
      </c>
      <c r="D203" s="12">
        <v>0</v>
      </c>
      <c r="E203" s="12">
        <v>0</v>
      </c>
      <c r="F203" s="12">
        <v>4228.4</v>
      </c>
      <c r="G203" s="12">
        <f t="shared" si="25"/>
        <v>-4228.4</v>
      </c>
      <c r="H203" s="24"/>
      <c r="I203" s="12">
        <v>0</v>
      </c>
      <c r="J203" s="12">
        <v>0</v>
      </c>
      <c r="K203" s="12">
        <v>0</v>
      </c>
      <c r="L203" s="10">
        <f t="shared" si="27"/>
        <v>0</v>
      </c>
      <c r="M203" s="23">
        <f t="shared" si="26"/>
        <v>1</v>
      </c>
    </row>
    <row r="204" spans="2:13" ht="12.75">
      <c r="B204" s="11" t="s">
        <v>50</v>
      </c>
      <c r="C204" s="12">
        <v>232420.37</v>
      </c>
      <c r="D204" s="12">
        <v>0</v>
      </c>
      <c r="E204" s="12">
        <v>32.89</v>
      </c>
      <c r="F204" s="12">
        <v>232451.37</v>
      </c>
      <c r="G204" s="12">
        <f t="shared" si="25"/>
        <v>-232418.47999999998</v>
      </c>
      <c r="H204" s="24"/>
      <c r="I204" s="12">
        <v>0</v>
      </c>
      <c r="J204" s="12">
        <v>0</v>
      </c>
      <c r="K204" s="12">
        <v>0</v>
      </c>
      <c r="L204" s="10">
        <f t="shared" si="27"/>
        <v>0</v>
      </c>
      <c r="M204" s="23">
        <f t="shared" si="26"/>
        <v>1.000133379014929</v>
      </c>
    </row>
    <row r="205" spans="2:13" ht="12.75">
      <c r="B205" s="11" t="s">
        <v>52</v>
      </c>
      <c r="C205" s="12">
        <v>4072457.96</v>
      </c>
      <c r="D205" s="12">
        <v>0</v>
      </c>
      <c r="E205" s="12">
        <v>0</v>
      </c>
      <c r="F205" s="12">
        <v>4035441.1</v>
      </c>
      <c r="G205" s="12">
        <f t="shared" si="25"/>
        <v>-4035441.1</v>
      </c>
      <c r="H205" s="24"/>
      <c r="I205" s="12">
        <v>0</v>
      </c>
      <c r="J205" s="12">
        <v>0</v>
      </c>
      <c r="K205" s="12">
        <v>0</v>
      </c>
      <c r="L205" s="10">
        <f t="shared" si="27"/>
        <v>0</v>
      </c>
      <c r="M205" s="23">
        <f t="shared" si="26"/>
        <v>0.9909104377838686</v>
      </c>
    </row>
    <row r="206" spans="2:13" ht="12.75">
      <c r="B206" s="11" t="s">
        <v>66</v>
      </c>
      <c r="C206" s="12">
        <f>41574.61+60747.7+60264.9</f>
        <v>162587.21</v>
      </c>
      <c r="D206" s="12">
        <v>0</v>
      </c>
      <c r="E206" s="12">
        <f>284.61+129.62</f>
        <v>414.23</v>
      </c>
      <c r="F206" s="12">
        <v>0</v>
      </c>
      <c r="G206" s="12">
        <f t="shared" si="25"/>
        <v>414.23</v>
      </c>
      <c r="H206" s="24"/>
      <c r="I206" s="12">
        <f>113018.68+115.58+51706.22</f>
        <v>164840.47999999998</v>
      </c>
      <c r="J206" s="12">
        <v>0</v>
      </c>
      <c r="K206" s="12">
        <v>0</v>
      </c>
      <c r="L206" s="10">
        <f t="shared" si="27"/>
        <v>164840.47999999998</v>
      </c>
      <c r="M206" s="23">
        <f t="shared" si="26"/>
        <v>0</v>
      </c>
    </row>
    <row r="207" spans="2:13" ht="12.75">
      <c r="B207" s="11" t="s">
        <v>53</v>
      </c>
      <c r="C207" s="12">
        <v>0</v>
      </c>
      <c r="D207" s="12">
        <v>0</v>
      </c>
      <c r="E207" s="12">
        <f>24.33+617+145.75+16.17+231.71+308.27+343.07+11.11</f>
        <v>1697.4099999999999</v>
      </c>
      <c r="F207" s="12">
        <v>0</v>
      </c>
      <c r="G207" s="12">
        <f t="shared" si="25"/>
        <v>1697.4099999999999</v>
      </c>
      <c r="H207" s="24"/>
      <c r="I207" s="12">
        <f>11861.45+245009.52+57876.7+9468.49+92008.79+95887.6+699.4</f>
        <v>512811.94999999995</v>
      </c>
      <c r="J207" s="12">
        <v>12945.6</v>
      </c>
      <c r="K207" s="12">
        <f>148258.24+805263.61+6806.29+91583.36+0.11</f>
        <v>1051911.61</v>
      </c>
      <c r="L207" s="12">
        <v>0</v>
      </c>
      <c r="M207" s="23">
        <v>0</v>
      </c>
    </row>
    <row r="208" spans="2:13" ht="12.75">
      <c r="B208" s="13" t="s">
        <v>7</v>
      </c>
      <c r="C208" s="9">
        <f>C173+C180+C195</f>
        <v>96899457.24</v>
      </c>
      <c r="D208" s="9">
        <f>D173+D180+D195</f>
        <v>78970010.77000001</v>
      </c>
      <c r="E208" s="9">
        <f>E173+E180+E195</f>
        <v>3386.13</v>
      </c>
      <c r="F208" s="9">
        <f>F173+F180+F195</f>
        <v>62339413</v>
      </c>
      <c r="G208" s="9">
        <f t="shared" si="25"/>
        <v>16633983.900000006</v>
      </c>
      <c r="H208" s="22"/>
      <c r="I208" s="9">
        <f>I195+I180+I173</f>
        <v>23221706.6</v>
      </c>
      <c r="J208" s="9">
        <f>J195+J180+J173</f>
        <v>1123076.65</v>
      </c>
      <c r="K208" s="9">
        <f>K195+K180+K173</f>
        <v>1824255.37</v>
      </c>
      <c r="L208" s="9">
        <f>L195+L180+L173</f>
        <v>23011181.200000003</v>
      </c>
      <c r="M208" s="26"/>
    </row>
    <row r="209" spans="1:13" ht="12.75">
      <c r="A209" s="28"/>
      <c r="B209" s="28"/>
      <c r="C209" s="29"/>
      <c r="D209" s="101" t="s">
        <v>11</v>
      </c>
      <c r="E209" s="101"/>
      <c r="F209" s="101"/>
      <c r="G209" s="101"/>
      <c r="H209" s="101"/>
      <c r="I209" s="101"/>
      <c r="J209" s="101"/>
      <c r="K209" s="29"/>
      <c r="L209" s="29"/>
      <c r="M209" s="63"/>
    </row>
    <row r="210" spans="1:13" ht="13.5">
      <c r="A210" s="28"/>
      <c r="B210" s="28"/>
      <c r="C210" s="102" t="s">
        <v>3</v>
      </c>
      <c r="D210" s="102"/>
      <c r="E210" s="103" t="s">
        <v>4</v>
      </c>
      <c r="F210" s="104"/>
      <c r="G210" s="104"/>
      <c r="H210" s="105"/>
      <c r="I210" s="71" t="s">
        <v>64</v>
      </c>
      <c r="J210" s="31" t="s">
        <v>0</v>
      </c>
      <c r="K210" s="28"/>
      <c r="L210" s="32"/>
      <c r="M210" s="33"/>
    </row>
    <row r="211" spans="1:13" ht="12.75">
      <c r="A211" s="28"/>
      <c r="B211" s="28"/>
      <c r="C211" s="95" t="s">
        <v>31</v>
      </c>
      <c r="D211" s="95"/>
      <c r="E211" s="96">
        <v>4800000</v>
      </c>
      <c r="F211" s="97"/>
      <c r="G211" s="97"/>
      <c r="H211" s="98"/>
      <c r="I211" s="53">
        <v>4421806.66</v>
      </c>
      <c r="J211" s="34">
        <v>0.92</v>
      </c>
      <c r="K211" s="28"/>
      <c r="L211" s="32"/>
      <c r="M211" s="33"/>
    </row>
    <row r="212" spans="1:13" ht="13.5">
      <c r="A212" s="28"/>
      <c r="B212" s="28"/>
      <c r="C212" s="99" t="s">
        <v>32</v>
      </c>
      <c r="D212" s="99"/>
      <c r="E212" s="96">
        <v>3049233.15</v>
      </c>
      <c r="F212" s="97"/>
      <c r="G212" s="97"/>
      <c r="H212" s="98"/>
      <c r="I212" s="53">
        <v>2681383.76</v>
      </c>
      <c r="J212" s="34">
        <v>0.87</v>
      </c>
      <c r="K212" s="29"/>
      <c r="L212" s="32"/>
      <c r="M212" s="33"/>
    </row>
    <row r="213" spans="1:13" ht="13.5">
      <c r="A213" s="28"/>
      <c r="B213" s="28"/>
      <c r="C213" s="73"/>
      <c r="D213" s="73"/>
      <c r="E213" s="74"/>
      <c r="F213" s="74"/>
      <c r="G213" s="74"/>
      <c r="H213" s="74"/>
      <c r="I213" s="74"/>
      <c r="J213" s="75"/>
      <c r="K213" s="29"/>
      <c r="L213" s="32"/>
      <c r="M213" s="33"/>
    </row>
    <row r="214" spans="1:13" ht="16.5">
      <c r="A214" s="28"/>
      <c r="B214" s="40"/>
      <c r="C214" s="90" t="s">
        <v>5</v>
      </c>
      <c r="D214" s="90"/>
      <c r="E214" s="41"/>
      <c r="F214" s="42"/>
      <c r="G214" s="42"/>
      <c r="H214" s="42" t="s">
        <v>28</v>
      </c>
      <c r="I214" s="43"/>
      <c r="J214" s="91" t="s">
        <v>29</v>
      </c>
      <c r="K214" s="91"/>
      <c r="L214" s="91"/>
      <c r="M214" s="44"/>
    </row>
    <row r="215" spans="1:13" ht="16.5">
      <c r="A215" s="28"/>
      <c r="B215" s="40"/>
      <c r="C215" s="45"/>
      <c r="D215" s="69"/>
      <c r="E215" s="41"/>
      <c r="F215" s="42"/>
      <c r="G215" s="42"/>
      <c r="H215" s="46"/>
      <c r="I215" s="43"/>
      <c r="J215" s="47"/>
      <c r="K215" s="47"/>
      <c r="L215" s="48"/>
      <c r="M215" s="44"/>
    </row>
    <row r="216" spans="1:13" ht="16.5">
      <c r="A216" s="28"/>
      <c r="B216" s="49"/>
      <c r="C216" s="90" t="s">
        <v>30</v>
      </c>
      <c r="D216" s="90"/>
      <c r="E216" s="41"/>
      <c r="F216" s="42"/>
      <c r="G216" s="42"/>
      <c r="H216" s="42" t="s">
        <v>38</v>
      </c>
      <c r="I216" s="43"/>
      <c r="J216" s="91" t="s">
        <v>39</v>
      </c>
      <c r="K216" s="91"/>
      <c r="L216" s="91"/>
      <c r="M216" s="20"/>
    </row>
    <row r="217" spans="1:13" ht="16.5">
      <c r="A217" s="28"/>
      <c r="B217" s="49"/>
      <c r="C217" s="92" t="s">
        <v>40</v>
      </c>
      <c r="D217" s="93"/>
      <c r="E217" s="41"/>
      <c r="F217" s="50"/>
      <c r="G217" s="50"/>
      <c r="H217" s="50" t="s">
        <v>36</v>
      </c>
      <c r="I217" s="43"/>
      <c r="J217" s="94" t="s">
        <v>37</v>
      </c>
      <c r="K217" s="94"/>
      <c r="L217" s="94"/>
      <c r="M217" s="27"/>
    </row>
    <row r="218" spans="2:13" ht="15.75">
      <c r="B218" s="58" t="s">
        <v>34</v>
      </c>
      <c r="C218" s="51"/>
      <c r="D218" s="51"/>
      <c r="E218" s="51"/>
      <c r="F218" s="52"/>
      <c r="G218" s="52"/>
      <c r="H218" s="30"/>
      <c r="I218" s="51"/>
      <c r="J218" s="52"/>
      <c r="K218" s="51"/>
      <c r="L218" s="51"/>
      <c r="M218" s="27"/>
    </row>
    <row r="219" spans="2:13" ht="15.75">
      <c r="B219" s="109" t="s">
        <v>26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 ht="15.75">
      <c r="B220" s="7"/>
      <c r="C220" s="5"/>
      <c r="D220" s="5"/>
      <c r="E220" s="5"/>
      <c r="F220" s="5"/>
      <c r="G220" s="5"/>
      <c r="H220" s="19"/>
      <c r="I220" s="5"/>
      <c r="J220" s="5"/>
      <c r="K220" s="5"/>
      <c r="L220" s="5"/>
      <c r="M220" s="19"/>
    </row>
    <row r="221" spans="2:13" ht="15.75">
      <c r="B221" s="109" t="s">
        <v>6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 ht="16.5">
      <c r="B222" s="110" t="s">
        <v>41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2:13" ht="16.5">
      <c r="B223" s="111" t="s">
        <v>74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2:13" ht="15.75">
      <c r="B224" s="3" t="s">
        <v>15</v>
      </c>
      <c r="C224" s="4"/>
      <c r="D224" s="4"/>
      <c r="E224" s="4"/>
      <c r="F224" s="4"/>
      <c r="G224" s="4"/>
      <c r="H224" s="6"/>
      <c r="I224" s="4"/>
      <c r="J224" s="4"/>
      <c r="K224" s="4"/>
      <c r="L224" s="4"/>
      <c r="M224" s="6"/>
    </row>
    <row r="225" spans="3:12" ht="13.5">
      <c r="C225" s="2"/>
      <c r="D225" s="112" t="s">
        <v>1</v>
      </c>
      <c r="E225" s="112"/>
      <c r="F225" s="113"/>
      <c r="G225" s="113"/>
      <c r="H225" s="113"/>
      <c r="I225" s="112" t="s">
        <v>2</v>
      </c>
      <c r="J225" s="112"/>
      <c r="K225" s="112"/>
      <c r="L225" s="112"/>
    </row>
    <row r="226" spans="2:13" ht="13.5">
      <c r="B226" s="106" t="s">
        <v>8</v>
      </c>
      <c r="C226" s="108" t="s">
        <v>12</v>
      </c>
      <c r="D226" s="108" t="s">
        <v>13</v>
      </c>
      <c r="E226" s="108" t="s">
        <v>16</v>
      </c>
      <c r="F226" s="100" t="s">
        <v>14</v>
      </c>
      <c r="G226" s="82"/>
      <c r="H226" s="100" t="s">
        <v>0</v>
      </c>
      <c r="I226" s="100" t="s">
        <v>22</v>
      </c>
      <c r="J226" s="100" t="s">
        <v>23</v>
      </c>
      <c r="K226" s="100" t="s">
        <v>24</v>
      </c>
      <c r="L226" s="100" t="s">
        <v>25</v>
      </c>
      <c r="M226" s="84" t="s">
        <v>9</v>
      </c>
    </row>
    <row r="227" spans="2:13" ht="13.5">
      <c r="B227" s="107"/>
      <c r="C227" s="108"/>
      <c r="D227" s="108"/>
      <c r="E227" s="108"/>
      <c r="F227" s="100"/>
      <c r="G227" s="82"/>
      <c r="H227" s="100"/>
      <c r="I227" s="100"/>
      <c r="J227" s="100"/>
      <c r="K227" s="100"/>
      <c r="L227" s="100"/>
      <c r="M227" s="1" t="s">
        <v>10</v>
      </c>
    </row>
    <row r="228" spans="2:14" ht="12.75">
      <c r="B228" s="8" t="s">
        <v>35</v>
      </c>
      <c r="C228" s="9">
        <f>SUM(C229:C234)</f>
        <v>10569638.75</v>
      </c>
      <c r="D228" s="9">
        <f>SUM(D229:D234)</f>
        <v>9876761.85</v>
      </c>
      <c r="E228" s="9">
        <f>SUM(E229:E234)</f>
        <v>566.74</v>
      </c>
      <c r="F228" s="9">
        <f>SUM(F229:F234)</f>
        <v>8139159.17</v>
      </c>
      <c r="G228" s="9">
        <f>D228+E228-F228</f>
        <v>1738169.42</v>
      </c>
      <c r="H228" s="21">
        <f>F228/(D228+E228)</f>
        <v>0.8240243397633085</v>
      </c>
      <c r="I228" s="9">
        <f>SUM(I229:I234)</f>
        <v>1542620.79</v>
      </c>
      <c r="J228" s="9">
        <f>SUM(J229:J234)</f>
        <v>220429.42</v>
      </c>
      <c r="K228" s="9">
        <f>SUM(K229:K234)</f>
        <v>14032</v>
      </c>
      <c r="L228" s="9">
        <f>I228+J228-K228</f>
        <v>1749018.21</v>
      </c>
      <c r="M228" s="25">
        <f>F228/C228</f>
        <v>0.7700508373571424</v>
      </c>
      <c r="N228" s="17"/>
    </row>
    <row r="229" spans="2:14" ht="12.75">
      <c r="B229" s="11" t="s">
        <v>17</v>
      </c>
      <c r="C229" s="12">
        <v>3522582.85</v>
      </c>
      <c r="D229" s="12">
        <v>4007562.62</v>
      </c>
      <c r="E229" s="12">
        <v>566.74</v>
      </c>
      <c r="F229" s="12">
        <v>8139159.17</v>
      </c>
      <c r="G229" s="12"/>
      <c r="H229" s="21"/>
      <c r="I229" s="12">
        <f>1136566.14+406054.65</f>
        <v>1542620.79</v>
      </c>
      <c r="J229" s="12">
        <f>205000+1321.94+14107.48</f>
        <v>220429.42</v>
      </c>
      <c r="K229" s="12">
        <f>14032</f>
        <v>14032</v>
      </c>
      <c r="L229" s="10">
        <f>I229+J229-K229</f>
        <v>1749018.21</v>
      </c>
      <c r="M229" s="23"/>
      <c r="N229" s="17"/>
    </row>
    <row r="230" spans="2:14" ht="12.75">
      <c r="B230" s="11" t="s">
        <v>18</v>
      </c>
      <c r="C230" s="12">
        <v>6347999.9</v>
      </c>
      <c r="D230" s="12">
        <v>4325013.74</v>
      </c>
      <c r="E230" s="12">
        <v>0</v>
      </c>
      <c r="F230" s="12">
        <v>0</v>
      </c>
      <c r="G230" s="12"/>
      <c r="H230" s="21"/>
      <c r="I230" s="12">
        <v>0</v>
      </c>
      <c r="J230" s="12">
        <v>0</v>
      </c>
      <c r="K230" s="12">
        <v>0</v>
      </c>
      <c r="L230" s="10">
        <v>0</v>
      </c>
      <c r="M230" s="23"/>
      <c r="N230" s="17"/>
    </row>
    <row r="231" spans="2:14" ht="12.75">
      <c r="B231" s="11" t="s">
        <v>19</v>
      </c>
      <c r="C231" s="12">
        <v>696356</v>
      </c>
      <c r="D231" s="12">
        <v>1027512.49</v>
      </c>
      <c r="E231" s="12">
        <v>0</v>
      </c>
      <c r="F231" s="12">
        <v>0</v>
      </c>
      <c r="G231" s="12"/>
      <c r="H231" s="21"/>
      <c r="I231" s="12">
        <v>0</v>
      </c>
      <c r="J231" s="12">
        <v>0</v>
      </c>
      <c r="K231" s="12">
        <v>0</v>
      </c>
      <c r="L231" s="10">
        <v>0</v>
      </c>
      <c r="M231" s="23"/>
      <c r="N231" s="17"/>
    </row>
    <row r="232" spans="2:14" ht="12.75">
      <c r="B232" s="11" t="s">
        <v>20</v>
      </c>
      <c r="C232" s="12">
        <v>0</v>
      </c>
      <c r="D232" s="12">
        <v>516673</v>
      </c>
      <c r="E232" s="12">
        <v>0</v>
      </c>
      <c r="F232" s="12">
        <v>0</v>
      </c>
      <c r="G232" s="12"/>
      <c r="H232" s="21"/>
      <c r="I232" s="12">
        <v>0</v>
      </c>
      <c r="J232" s="12">
        <v>0</v>
      </c>
      <c r="K232" s="12">
        <v>0</v>
      </c>
      <c r="L232" s="10">
        <v>0</v>
      </c>
      <c r="M232" s="23"/>
      <c r="N232" s="17"/>
    </row>
    <row r="233" spans="2:14" ht="12.75">
      <c r="B233" s="11" t="s">
        <v>21</v>
      </c>
      <c r="C233" s="12">
        <v>0</v>
      </c>
      <c r="D233" s="12">
        <v>0</v>
      </c>
      <c r="E233" s="12">
        <v>0</v>
      </c>
      <c r="F233" s="12">
        <v>0</v>
      </c>
      <c r="G233" s="12"/>
      <c r="H233" s="21"/>
      <c r="I233" s="12">
        <v>0</v>
      </c>
      <c r="J233" s="12">
        <v>0</v>
      </c>
      <c r="K233" s="12">
        <v>0</v>
      </c>
      <c r="L233" s="10">
        <v>0</v>
      </c>
      <c r="M233" s="23"/>
      <c r="N233" s="17"/>
    </row>
    <row r="234" spans="2:14" ht="12.75">
      <c r="B234" s="11" t="s">
        <v>51</v>
      </c>
      <c r="C234" s="12">
        <v>2700</v>
      </c>
      <c r="D234" s="12">
        <v>0</v>
      </c>
      <c r="E234" s="12">
        <v>0</v>
      </c>
      <c r="F234" s="12">
        <v>0</v>
      </c>
      <c r="G234" s="12"/>
      <c r="H234" s="21"/>
      <c r="I234" s="12">
        <v>0</v>
      </c>
      <c r="J234" s="12">
        <v>0</v>
      </c>
      <c r="K234" s="12">
        <v>0</v>
      </c>
      <c r="L234" s="10">
        <v>0</v>
      </c>
      <c r="M234" s="23"/>
      <c r="N234" s="17"/>
    </row>
    <row r="235" spans="2:14" ht="12.75">
      <c r="B235" s="8" t="s">
        <v>27</v>
      </c>
      <c r="C235" s="9">
        <f>SUM(C236:C248)</f>
        <v>79745402.21000001</v>
      </c>
      <c r="D235" s="9">
        <f>SUM(D236:D249)</f>
        <v>75105791.82</v>
      </c>
      <c r="E235" s="9">
        <f>SUM(E236:E248)</f>
        <v>1915.77</v>
      </c>
      <c r="F235" s="9">
        <f>SUM(F236:F249)</f>
        <v>56611506.500000015</v>
      </c>
      <c r="G235" s="9">
        <f>SUM(G236:G248)</f>
        <v>18334186.500000004</v>
      </c>
      <c r="H235" s="21"/>
      <c r="I235" s="9">
        <f>SUM(I236:I249)</f>
        <v>18578509.79</v>
      </c>
      <c r="J235" s="9">
        <f>SUM(J236:J249)</f>
        <v>640429.77</v>
      </c>
      <c r="K235" s="9">
        <f>SUM(K236:K249)</f>
        <v>722738.47</v>
      </c>
      <c r="L235" s="9">
        <f>SUM(L236:L249)</f>
        <v>18496201.09</v>
      </c>
      <c r="M235" s="25"/>
      <c r="N235" s="17"/>
    </row>
    <row r="236" spans="2:14" ht="12.75">
      <c r="B236" s="11" t="s">
        <v>54</v>
      </c>
      <c r="C236" s="12">
        <v>26444293</v>
      </c>
      <c r="D236" s="12">
        <v>20960485.11</v>
      </c>
      <c r="E236" s="12">
        <v>0</v>
      </c>
      <c r="F236" s="12">
        <v>21396169.95</v>
      </c>
      <c r="G236" s="12">
        <f>D236+E236-F236</f>
        <v>-435684.83999999985</v>
      </c>
      <c r="H236" s="21">
        <f aca="true" t="shared" si="28" ref="H236:H247">F236/(D236+E236)</f>
        <v>1.020786009374952</v>
      </c>
      <c r="I236" s="12">
        <v>102313.71</v>
      </c>
      <c r="J236" s="12">
        <v>1045.24</v>
      </c>
      <c r="K236" s="12">
        <f>205000+122247.52+53592+158254.55</f>
        <v>539094.0700000001</v>
      </c>
      <c r="L236" s="10">
        <f>I236+J236-K236</f>
        <v>-435735.12000000005</v>
      </c>
      <c r="M236" s="25">
        <f>F236/C236</f>
        <v>0.8091034973028017</v>
      </c>
      <c r="N236" s="17"/>
    </row>
    <row r="237" spans="2:14" ht="12.75">
      <c r="B237" s="11" t="s">
        <v>55</v>
      </c>
      <c r="C237" s="12">
        <v>12591512</v>
      </c>
      <c r="D237" s="12">
        <v>12591512</v>
      </c>
      <c r="E237" s="12">
        <v>0.31</v>
      </c>
      <c r="F237" s="12">
        <v>7337727.91</v>
      </c>
      <c r="G237" s="12">
        <f aca="true" t="shared" si="29" ref="G237:G262">D237+E237-F237</f>
        <v>5253784.4</v>
      </c>
      <c r="H237" s="21">
        <f t="shared" si="28"/>
        <v>0.5827519148889273</v>
      </c>
      <c r="I237" s="12">
        <v>5131497.23</v>
      </c>
      <c r="J237" s="12">
        <f>178127.69</f>
        <v>178127.69</v>
      </c>
      <c r="K237" s="12">
        <f>18613.51+37227.01</f>
        <v>55840.520000000004</v>
      </c>
      <c r="L237" s="10">
        <f>I237+J237-K237</f>
        <v>5253784.400000001</v>
      </c>
      <c r="M237" s="25">
        <f aca="true" t="shared" si="30" ref="M237:M245">F237/C237</f>
        <v>0.5827519292361394</v>
      </c>
      <c r="N237" s="85"/>
    </row>
    <row r="238" spans="2:14" ht="12.75">
      <c r="B238" s="11" t="s">
        <v>56</v>
      </c>
      <c r="C238" s="12">
        <v>25407614.43</v>
      </c>
      <c r="D238" s="12">
        <v>23290313.2</v>
      </c>
      <c r="E238" s="12">
        <v>1915.27</v>
      </c>
      <c r="F238" s="12">
        <v>20017646.33</v>
      </c>
      <c r="G238" s="12">
        <f>D238+E238-F238</f>
        <v>3274582.1400000006</v>
      </c>
      <c r="H238" s="21">
        <f t="shared" si="28"/>
        <v>0.8594131023479523</v>
      </c>
      <c r="I238" s="12">
        <v>3302965.2</v>
      </c>
      <c r="J238" s="12">
        <v>1321.94</v>
      </c>
      <c r="K238" s="12">
        <f>22255.37+7400</f>
        <v>29655.37</v>
      </c>
      <c r="L238" s="10">
        <f>I238+J238-K238</f>
        <v>3274631.77</v>
      </c>
      <c r="M238" s="25">
        <f t="shared" si="30"/>
        <v>0.7878601269375449</v>
      </c>
      <c r="N238" s="17"/>
    </row>
    <row r="239" spans="2:14" ht="12.75">
      <c r="B239" s="11" t="s">
        <v>57</v>
      </c>
      <c r="C239" s="12">
        <v>1057470</v>
      </c>
      <c r="D239" s="12">
        <v>829996.29</v>
      </c>
      <c r="E239" s="12">
        <v>0</v>
      </c>
      <c r="F239" s="12">
        <v>0</v>
      </c>
      <c r="G239" s="12">
        <f t="shared" si="29"/>
        <v>829996.29</v>
      </c>
      <c r="H239" s="21">
        <f t="shared" si="28"/>
        <v>0</v>
      </c>
      <c r="I239" s="12">
        <v>849054.11</v>
      </c>
      <c r="J239" s="12">
        <v>0</v>
      </c>
      <c r="K239" s="12">
        <v>19057.82</v>
      </c>
      <c r="L239" s="10">
        <f>I239+J239-K239</f>
        <v>829996.29</v>
      </c>
      <c r="M239" s="25">
        <f t="shared" si="30"/>
        <v>0</v>
      </c>
      <c r="N239" s="85"/>
    </row>
    <row r="240" spans="2:14" ht="12.75">
      <c r="B240" s="11" t="s">
        <v>58</v>
      </c>
      <c r="C240" s="12">
        <v>12329603</v>
      </c>
      <c r="D240" s="12">
        <v>11240898.32</v>
      </c>
      <c r="E240" s="12">
        <v>0.19</v>
      </c>
      <c r="F240" s="12">
        <v>5705932.48</v>
      </c>
      <c r="G240" s="12">
        <f t="shared" si="29"/>
        <v>5534966.029999999</v>
      </c>
      <c r="H240" s="21">
        <f t="shared" si="28"/>
        <v>0.5076046612220504</v>
      </c>
      <c r="I240" s="12">
        <v>5598000.97</v>
      </c>
      <c r="J240" s="12"/>
      <c r="K240" s="12">
        <f>33177.35+29857.24</f>
        <v>63034.59</v>
      </c>
      <c r="L240" s="10">
        <f aca="true" t="shared" si="31" ref="L240:L247">I240+J240-K240</f>
        <v>5534966.38</v>
      </c>
      <c r="M240" s="25">
        <f t="shared" si="30"/>
        <v>0.4627831471946015</v>
      </c>
      <c r="N240" s="17"/>
    </row>
    <row r="241" spans="2:14" ht="12.75">
      <c r="B241" s="11" t="s">
        <v>59</v>
      </c>
      <c r="C241" s="12">
        <v>1167126</v>
      </c>
      <c r="D241" s="12">
        <v>745752.94</v>
      </c>
      <c r="E241" s="12">
        <v>0</v>
      </c>
      <c r="F241" s="12">
        <v>469228.2</v>
      </c>
      <c r="G241" s="12">
        <f t="shared" si="29"/>
        <v>276524.73999999993</v>
      </c>
      <c r="H241" s="21">
        <f t="shared" si="28"/>
        <v>0.6292006036208185</v>
      </c>
      <c r="I241" s="12">
        <v>276524.74</v>
      </c>
      <c r="J241" s="12">
        <v>0</v>
      </c>
      <c r="K241" s="12">
        <v>-0.3</v>
      </c>
      <c r="L241" s="10">
        <f t="shared" si="31"/>
        <v>276525.04</v>
      </c>
      <c r="M241" s="25">
        <f t="shared" si="30"/>
        <v>0.40203731216680977</v>
      </c>
      <c r="N241" s="17"/>
    </row>
    <row r="242" spans="2:14" ht="12.75">
      <c r="B242" s="11" t="s">
        <v>60</v>
      </c>
      <c r="C242" s="12">
        <v>161698</v>
      </c>
      <c r="D242" s="12">
        <v>253223.63</v>
      </c>
      <c r="E242" s="12">
        <v>0</v>
      </c>
      <c r="F242" s="12">
        <v>0</v>
      </c>
      <c r="G242" s="12">
        <f t="shared" si="29"/>
        <v>253223.63</v>
      </c>
      <c r="H242" s="21">
        <f t="shared" si="28"/>
        <v>0</v>
      </c>
      <c r="I242" s="12">
        <v>253223.63</v>
      </c>
      <c r="J242" s="12">
        <v>0</v>
      </c>
      <c r="K242" s="12"/>
      <c r="L242" s="10">
        <f t="shared" si="31"/>
        <v>253223.63</v>
      </c>
      <c r="M242" s="25">
        <f t="shared" si="30"/>
        <v>0</v>
      </c>
      <c r="N242" s="85"/>
    </row>
    <row r="243" spans="2:14" ht="12.75">
      <c r="B243" s="11" t="s">
        <v>61</v>
      </c>
      <c r="C243" s="12">
        <v>44192</v>
      </c>
      <c r="D243" s="12">
        <v>40508.97</v>
      </c>
      <c r="E243" s="12">
        <v>0</v>
      </c>
      <c r="F243" s="12">
        <v>23559.2</v>
      </c>
      <c r="G243" s="12">
        <f t="shared" si="29"/>
        <v>16949.77</v>
      </c>
      <c r="H243" s="21">
        <f t="shared" si="28"/>
        <v>0.5815798328123376</v>
      </c>
      <c r="I243" s="12">
        <v>16949.77</v>
      </c>
      <c r="J243" s="12">
        <v>0</v>
      </c>
      <c r="K243" s="12">
        <v>0</v>
      </c>
      <c r="L243" s="10">
        <f t="shared" si="31"/>
        <v>16949.77</v>
      </c>
      <c r="M243" s="25">
        <f t="shared" si="30"/>
        <v>0.5331100651701666</v>
      </c>
      <c r="N243" s="85"/>
    </row>
    <row r="244" spans="2:14" ht="12.75">
      <c r="B244" s="11" t="s">
        <v>62</v>
      </c>
      <c r="C244" s="12">
        <v>439401</v>
      </c>
      <c r="D244" s="12">
        <v>385470.53</v>
      </c>
      <c r="E244" s="12">
        <v>0</v>
      </c>
      <c r="F244" s="12">
        <v>0</v>
      </c>
      <c r="G244" s="12">
        <f t="shared" si="29"/>
        <v>385470.53</v>
      </c>
      <c r="H244" s="21">
        <f t="shared" si="28"/>
        <v>0</v>
      </c>
      <c r="I244" s="12">
        <v>385470.53</v>
      </c>
      <c r="J244" s="12">
        <v>0</v>
      </c>
      <c r="K244" s="12">
        <v>0</v>
      </c>
      <c r="L244" s="10">
        <f t="shared" si="31"/>
        <v>385470.53</v>
      </c>
      <c r="M244" s="25">
        <f t="shared" si="30"/>
        <v>0</v>
      </c>
      <c r="N244" s="85"/>
    </row>
    <row r="245" spans="2:14" ht="12.75">
      <c r="B245" s="11" t="s">
        <v>63</v>
      </c>
      <c r="C245" s="12">
        <v>102492.78</v>
      </c>
      <c r="D245" s="12">
        <v>309662.39</v>
      </c>
      <c r="E245" s="12">
        <v>0</v>
      </c>
      <c r="F245" s="12">
        <v>92363.84</v>
      </c>
      <c r="G245" s="12">
        <f t="shared" si="29"/>
        <v>217298.55000000002</v>
      </c>
      <c r="H245" s="21">
        <f t="shared" si="28"/>
        <v>0.298272709191452</v>
      </c>
      <c r="I245" s="12">
        <v>10128.94</v>
      </c>
      <c r="J245" s="12">
        <f>158254.55+29857.24+19057.82</f>
        <v>207169.61</v>
      </c>
      <c r="K245" s="12">
        <v>0</v>
      </c>
      <c r="L245" s="10">
        <f t="shared" si="31"/>
        <v>217298.55</v>
      </c>
      <c r="M245" s="25">
        <f t="shared" si="30"/>
        <v>0.9011741119715945</v>
      </c>
      <c r="N245" s="17"/>
    </row>
    <row r="246" spans="2:14" ht="12.75">
      <c r="B246" s="11" t="s">
        <v>65</v>
      </c>
      <c r="C246" s="12">
        <v>0</v>
      </c>
      <c r="D246" s="12">
        <v>2075836</v>
      </c>
      <c r="E246" s="12"/>
      <c r="F246" s="12">
        <v>327184</v>
      </c>
      <c r="G246" s="12">
        <f t="shared" si="29"/>
        <v>1748652</v>
      </c>
      <c r="H246" s="21">
        <f t="shared" si="28"/>
        <v>0.1576155341751468</v>
      </c>
      <c r="I246" s="12">
        <v>1748652</v>
      </c>
      <c r="J246" s="12">
        <v>0</v>
      </c>
      <c r="K246" s="12">
        <v>0</v>
      </c>
      <c r="L246" s="10">
        <f t="shared" si="31"/>
        <v>1748652</v>
      </c>
      <c r="M246" s="25">
        <v>0</v>
      </c>
      <c r="N246" s="17"/>
    </row>
    <row r="247" spans="2:14" ht="12.75">
      <c r="B247" s="11" t="s">
        <v>67</v>
      </c>
      <c r="C247" s="12">
        <v>0</v>
      </c>
      <c r="D247" s="12">
        <v>1110591</v>
      </c>
      <c r="E247" s="12">
        <v>0</v>
      </c>
      <c r="F247" s="12">
        <v>1110591</v>
      </c>
      <c r="G247" s="12">
        <f t="shared" si="29"/>
        <v>0</v>
      </c>
      <c r="H247" s="21">
        <f t="shared" si="28"/>
        <v>1</v>
      </c>
      <c r="I247" s="12">
        <v>0</v>
      </c>
      <c r="J247" s="12"/>
      <c r="K247" s="12"/>
      <c r="L247" s="10">
        <f t="shared" si="31"/>
        <v>0</v>
      </c>
      <c r="M247" s="25">
        <v>0</v>
      </c>
      <c r="N247" s="17"/>
    </row>
    <row r="248" spans="2:14" ht="12.75">
      <c r="B248" s="11" t="s">
        <v>70</v>
      </c>
      <c r="C248" s="12">
        <v>0</v>
      </c>
      <c r="D248" s="12">
        <v>1109526.85</v>
      </c>
      <c r="E248" s="12"/>
      <c r="F248" s="12">
        <v>131103.59</v>
      </c>
      <c r="G248" s="12">
        <f>D247+D248-F247-F248</f>
        <v>978423.2600000001</v>
      </c>
      <c r="H248" s="21"/>
      <c r="I248" s="12">
        <v>741714.37</v>
      </c>
      <c r="J248" s="12">
        <v>252765.29</v>
      </c>
      <c r="K248" s="12">
        <f>10704.27+5352.13</f>
        <v>16056.400000000001</v>
      </c>
      <c r="L248" s="10">
        <f>I248+J248-K248</f>
        <v>978423.26</v>
      </c>
      <c r="M248" s="25">
        <v>0</v>
      </c>
      <c r="N248" s="17"/>
    </row>
    <row r="249" spans="2:14" ht="12.75">
      <c r="B249" s="11" t="s">
        <v>73</v>
      </c>
      <c r="C249" s="12">
        <v>0</v>
      </c>
      <c r="D249" s="12">
        <v>162014.59</v>
      </c>
      <c r="E249" s="12"/>
      <c r="F249" s="12">
        <v>0</v>
      </c>
      <c r="G249" s="12">
        <f t="shared" si="29"/>
        <v>162014.59</v>
      </c>
      <c r="H249" s="21"/>
      <c r="I249" s="12">
        <v>162014.59</v>
      </c>
      <c r="J249" s="12">
        <v>0</v>
      </c>
      <c r="K249" s="12"/>
      <c r="L249" s="10">
        <f>I249+J249-K249</f>
        <v>162014.59</v>
      </c>
      <c r="M249" s="25">
        <v>0</v>
      </c>
      <c r="N249" s="85"/>
    </row>
    <row r="250" spans="2:14" ht="12.75">
      <c r="B250" s="8" t="s">
        <v>33</v>
      </c>
      <c r="C250" s="9">
        <f>SUM(C251:C261)</f>
        <v>6584416.71</v>
      </c>
      <c r="D250" s="9">
        <f>SUM(D251:D262)</f>
        <v>131433.9</v>
      </c>
      <c r="E250" s="9">
        <f>SUM(E251:E262)</f>
        <v>3067.09</v>
      </c>
      <c r="F250" s="9">
        <f>SUM(F251:F262)</f>
        <v>6377917.33</v>
      </c>
      <c r="G250" s="9">
        <f>D250+E250-F250</f>
        <v>-6243416.34</v>
      </c>
      <c r="H250" s="22"/>
      <c r="I250" s="9">
        <f>SUM(I251:I262)</f>
        <v>712705.3700000001</v>
      </c>
      <c r="J250" s="9">
        <f>SUM(J251:J262)</f>
        <v>14337.5</v>
      </c>
      <c r="K250" s="9">
        <f>SUM(K251:K262)</f>
        <v>1051911.61</v>
      </c>
      <c r="L250" s="9">
        <f>SUM(L251:L262)</f>
        <v>164889.86000000002</v>
      </c>
      <c r="M250" s="25">
        <v>0</v>
      </c>
      <c r="N250" s="17"/>
    </row>
    <row r="251" spans="2:14" ht="12.75">
      <c r="B251" s="11" t="s">
        <v>42</v>
      </c>
      <c r="C251" s="12">
        <v>160009.44</v>
      </c>
      <c r="D251" s="12">
        <v>122861.9</v>
      </c>
      <c r="E251" s="12">
        <v>126.53</v>
      </c>
      <c r="F251" s="12">
        <v>152995.34</v>
      </c>
      <c r="G251" s="12">
        <f t="shared" si="29"/>
        <v>-30006.910000000003</v>
      </c>
      <c r="H251" s="24"/>
      <c r="I251" s="12">
        <v>35508.19</v>
      </c>
      <c r="J251" s="12">
        <v>0</v>
      </c>
      <c r="K251" s="12">
        <v>0</v>
      </c>
      <c r="L251" s="10">
        <v>0</v>
      </c>
      <c r="M251" s="23">
        <f aca="true" t="shared" si="32" ref="M251:M261">F251/C251</f>
        <v>0.9561644612967835</v>
      </c>
      <c r="N251" s="17"/>
    </row>
    <row r="252" spans="2:14" ht="12.75">
      <c r="B252" s="11" t="s">
        <v>43</v>
      </c>
      <c r="C252" s="12">
        <v>439871.16</v>
      </c>
      <c r="D252" s="12">
        <v>0</v>
      </c>
      <c r="E252" s="12">
        <v>71.41</v>
      </c>
      <c r="F252" s="12">
        <v>439871.16</v>
      </c>
      <c r="G252" s="12">
        <f t="shared" si="29"/>
        <v>-439799.75</v>
      </c>
      <c r="H252" s="24"/>
      <c r="I252" s="12">
        <v>0</v>
      </c>
      <c r="J252" s="12"/>
      <c r="K252" s="12">
        <v>0</v>
      </c>
      <c r="L252" s="10">
        <f aca="true" t="shared" si="33" ref="L252:L261">I252+J252-K252</f>
        <v>0</v>
      </c>
      <c r="M252" s="23">
        <f t="shared" si="32"/>
        <v>1</v>
      </c>
      <c r="N252" s="17"/>
    </row>
    <row r="253" spans="2:14" ht="12.75">
      <c r="B253" s="11" t="s">
        <v>44</v>
      </c>
      <c r="C253" s="12">
        <v>354507.28</v>
      </c>
      <c r="D253" s="12">
        <v>8572</v>
      </c>
      <c r="E253" s="12">
        <v>81.07</v>
      </c>
      <c r="F253" s="12">
        <v>354588.35</v>
      </c>
      <c r="G253" s="12">
        <f t="shared" si="29"/>
        <v>-345935.27999999997</v>
      </c>
      <c r="H253" s="24"/>
      <c r="I253" s="12">
        <v>0</v>
      </c>
      <c r="J253" s="12">
        <v>0</v>
      </c>
      <c r="K253" s="12">
        <v>0</v>
      </c>
      <c r="L253" s="10">
        <f t="shared" si="33"/>
        <v>0</v>
      </c>
      <c r="M253" s="23">
        <f t="shared" si="32"/>
        <v>1.0002286835971321</v>
      </c>
      <c r="N253" s="17"/>
    </row>
    <row r="254" spans="2:14" ht="12.75">
      <c r="B254" s="11" t="s">
        <v>45</v>
      </c>
      <c r="C254" s="12">
        <v>1002913.77</v>
      </c>
      <c r="D254" s="12">
        <v>0</v>
      </c>
      <c r="E254" s="12">
        <v>384.78</v>
      </c>
      <c r="F254" s="12">
        <v>1002913.77</v>
      </c>
      <c r="G254" s="12">
        <f t="shared" si="29"/>
        <v>-1002528.99</v>
      </c>
      <c r="H254" s="24"/>
      <c r="I254" s="12">
        <v>0</v>
      </c>
      <c r="J254" s="12">
        <v>0</v>
      </c>
      <c r="K254" s="12">
        <v>0</v>
      </c>
      <c r="L254" s="10">
        <f t="shared" si="33"/>
        <v>0</v>
      </c>
      <c r="M254" s="23">
        <f t="shared" si="32"/>
        <v>1</v>
      </c>
      <c r="N254" s="17"/>
    </row>
    <row r="255" spans="2:14" ht="12.75">
      <c r="B255" s="11" t="s">
        <v>46</v>
      </c>
      <c r="C255" s="12">
        <v>41804.34</v>
      </c>
      <c r="D255" s="12">
        <v>0</v>
      </c>
      <c r="E255" s="12">
        <v>8.51</v>
      </c>
      <c r="F255" s="12">
        <v>41811.06</v>
      </c>
      <c r="G255" s="12">
        <f t="shared" si="29"/>
        <v>-41802.549999999996</v>
      </c>
      <c r="H255" s="24"/>
      <c r="I255" s="12">
        <v>0</v>
      </c>
      <c r="J255" s="12">
        <v>0</v>
      </c>
      <c r="K255" s="12">
        <v>0</v>
      </c>
      <c r="L255" s="10">
        <f t="shared" si="33"/>
        <v>0</v>
      </c>
      <c r="M255" s="23">
        <f t="shared" si="32"/>
        <v>1.0001607488600466</v>
      </c>
      <c r="N255" s="17"/>
    </row>
    <row r="256" spans="2:14" ht="12.75">
      <c r="B256" s="11" t="s">
        <v>47</v>
      </c>
      <c r="C256" s="12">
        <v>92195.51</v>
      </c>
      <c r="D256" s="12">
        <v>0</v>
      </c>
      <c r="E256" s="12">
        <v>6.49</v>
      </c>
      <c r="F256" s="12">
        <v>92195.51</v>
      </c>
      <c r="G256" s="12">
        <f t="shared" si="29"/>
        <v>-92189.01999999999</v>
      </c>
      <c r="H256" s="24"/>
      <c r="I256" s="12">
        <v>0</v>
      </c>
      <c r="J256" s="12">
        <v>0</v>
      </c>
      <c r="K256" s="12">
        <v>0</v>
      </c>
      <c r="L256" s="10">
        <f t="shared" si="33"/>
        <v>0</v>
      </c>
      <c r="M256" s="23">
        <f t="shared" si="32"/>
        <v>1</v>
      </c>
      <c r="N256" s="17"/>
    </row>
    <row r="257" spans="2:14" ht="12.75">
      <c r="B257" s="11" t="s">
        <v>48</v>
      </c>
      <c r="C257" s="12">
        <v>21421.27</v>
      </c>
      <c r="D257" s="12">
        <v>0</v>
      </c>
      <c r="E257" s="12">
        <v>3.02</v>
      </c>
      <c r="F257" s="12">
        <v>21421.27</v>
      </c>
      <c r="G257" s="12">
        <f t="shared" si="29"/>
        <v>-21418.25</v>
      </c>
      <c r="H257" s="24"/>
      <c r="I257" s="12">
        <v>0</v>
      </c>
      <c r="J257" s="12">
        <v>0</v>
      </c>
      <c r="K257" s="12">
        <v>0</v>
      </c>
      <c r="L257" s="10">
        <f t="shared" si="33"/>
        <v>0</v>
      </c>
      <c r="M257" s="23">
        <f t="shared" si="32"/>
        <v>1</v>
      </c>
      <c r="N257" s="17"/>
    </row>
    <row r="258" spans="2:14" ht="12.75">
      <c r="B258" s="11" t="s">
        <v>49</v>
      </c>
      <c r="C258" s="12">
        <v>4228.4</v>
      </c>
      <c r="D258" s="12">
        <v>0</v>
      </c>
      <c r="E258" s="12">
        <v>0</v>
      </c>
      <c r="F258" s="12">
        <v>4228.4</v>
      </c>
      <c r="G258" s="12">
        <f t="shared" si="29"/>
        <v>-4228.4</v>
      </c>
      <c r="H258" s="24"/>
      <c r="I258" s="12">
        <v>0</v>
      </c>
      <c r="J258" s="12">
        <v>0</v>
      </c>
      <c r="K258" s="12">
        <v>0</v>
      </c>
      <c r="L258" s="10">
        <f t="shared" si="33"/>
        <v>0</v>
      </c>
      <c r="M258" s="23">
        <f t="shared" si="32"/>
        <v>1</v>
      </c>
      <c r="N258" s="17"/>
    </row>
    <row r="259" spans="2:14" ht="12.75">
      <c r="B259" s="11" t="s">
        <v>50</v>
      </c>
      <c r="C259" s="12">
        <v>232420.37</v>
      </c>
      <c r="D259" s="12">
        <v>0</v>
      </c>
      <c r="E259" s="12">
        <v>32.89</v>
      </c>
      <c r="F259" s="12">
        <v>232451.37</v>
      </c>
      <c r="G259" s="12">
        <f t="shared" si="29"/>
        <v>-232418.47999999998</v>
      </c>
      <c r="H259" s="24"/>
      <c r="I259" s="12">
        <v>0</v>
      </c>
      <c r="J259" s="12">
        <v>0</v>
      </c>
      <c r="K259" s="12">
        <v>0</v>
      </c>
      <c r="L259" s="10">
        <f t="shared" si="33"/>
        <v>0</v>
      </c>
      <c r="M259" s="23">
        <f t="shared" si="32"/>
        <v>1.000133379014929</v>
      </c>
      <c r="N259" s="17"/>
    </row>
    <row r="260" spans="2:14" ht="12.75">
      <c r="B260" s="11" t="s">
        <v>52</v>
      </c>
      <c r="C260" s="12">
        <v>4072457.96</v>
      </c>
      <c r="D260" s="12">
        <v>0</v>
      </c>
      <c r="E260" s="12">
        <v>0</v>
      </c>
      <c r="F260" s="12">
        <v>4035441.1</v>
      </c>
      <c r="G260" s="12">
        <f t="shared" si="29"/>
        <v>-4035441.1</v>
      </c>
      <c r="H260" s="24"/>
      <c r="I260" s="12">
        <v>0</v>
      </c>
      <c r="J260" s="12">
        <v>0</v>
      </c>
      <c r="K260" s="12">
        <v>0</v>
      </c>
      <c r="L260" s="10">
        <f t="shared" si="33"/>
        <v>0</v>
      </c>
      <c r="M260" s="23">
        <f t="shared" si="32"/>
        <v>0.9909104377838686</v>
      </c>
      <c r="N260" s="17"/>
    </row>
    <row r="261" spans="2:14" ht="12.75">
      <c r="B261" s="11" t="s">
        <v>66</v>
      </c>
      <c r="C261" s="12">
        <f>41574.61+60747.7+60264.9</f>
        <v>162587.21</v>
      </c>
      <c r="D261" s="12">
        <v>0</v>
      </c>
      <c r="E261" s="12">
        <f>317.81+145.8</f>
        <v>463.61</v>
      </c>
      <c r="F261" s="12">
        <v>0</v>
      </c>
      <c r="G261" s="12">
        <f t="shared" si="29"/>
        <v>463.61</v>
      </c>
      <c r="H261" s="24"/>
      <c r="I261" s="12">
        <f>113051.88+115.58+51722.4</f>
        <v>164889.86000000002</v>
      </c>
      <c r="J261" s="12">
        <v>0</v>
      </c>
      <c r="K261" s="12">
        <v>0</v>
      </c>
      <c r="L261" s="10">
        <f t="shared" si="33"/>
        <v>164889.86000000002</v>
      </c>
      <c r="M261" s="23">
        <f t="shared" si="32"/>
        <v>0</v>
      </c>
      <c r="N261" s="17"/>
    </row>
    <row r="262" spans="2:14" ht="12.75">
      <c r="B262" s="11" t="s">
        <v>53</v>
      </c>
      <c r="C262" s="12">
        <v>0</v>
      </c>
      <c r="D262" s="12">
        <v>0</v>
      </c>
      <c r="E262" s="12">
        <f>26.77+688.97+162.75+16.17+258.74+338.27+386+11.11</f>
        <v>1888.78</v>
      </c>
      <c r="F262" s="12">
        <v>0</v>
      </c>
      <c r="G262" s="12">
        <f t="shared" si="29"/>
        <v>1888.78</v>
      </c>
      <c r="H262" s="24"/>
      <c r="I262" s="12">
        <f>11515.89+245081.49+57893.7+9120.49+92035.82+742.33+95917.6</f>
        <v>512307.32000000007</v>
      </c>
      <c r="J262" s="12">
        <f>13641.5+696</f>
        <v>14337.5</v>
      </c>
      <c r="K262" s="12">
        <f>148258.24+805263.61+6806.29+91583.36+0.11</f>
        <v>1051911.61</v>
      </c>
      <c r="L262" s="12">
        <v>0</v>
      </c>
      <c r="M262" s="23">
        <v>0</v>
      </c>
      <c r="N262" s="17"/>
    </row>
    <row r="263" spans="2:13" ht="12.75">
      <c r="B263" s="13" t="s">
        <v>7</v>
      </c>
      <c r="C263" s="9">
        <f>C228+C235+C250</f>
        <v>96899457.67</v>
      </c>
      <c r="D263" s="9">
        <f>D228+D235+D250</f>
        <v>85113987.57</v>
      </c>
      <c r="E263" s="9">
        <f>E228+E235+E250</f>
        <v>5549.6</v>
      </c>
      <c r="F263" s="9">
        <f>F228+F235+F250</f>
        <v>71128583.00000001</v>
      </c>
      <c r="G263" s="9">
        <f>D263+E263-F263</f>
        <v>13990954.169999972</v>
      </c>
      <c r="H263" s="22"/>
      <c r="I263" s="9">
        <f>I250+I235+I228</f>
        <v>20833835.95</v>
      </c>
      <c r="J263" s="9">
        <f>J250+J235+J228</f>
        <v>875196.6900000001</v>
      </c>
      <c r="K263" s="9">
        <f>K250+K235+K228</f>
        <v>1788682.08</v>
      </c>
      <c r="L263" s="9">
        <f>L250+L235+L228</f>
        <v>20410109.16</v>
      </c>
      <c r="M263" s="26"/>
    </row>
    <row r="264" spans="2:13" ht="12.75">
      <c r="B264" s="28"/>
      <c r="C264" s="29"/>
      <c r="D264" s="101" t="s">
        <v>11</v>
      </c>
      <c r="E264" s="101"/>
      <c r="F264" s="101"/>
      <c r="G264" s="101"/>
      <c r="H264" s="101"/>
      <c r="I264" s="101"/>
      <c r="J264" s="101"/>
      <c r="K264" s="29"/>
      <c r="L264" s="29"/>
      <c r="M264" s="63"/>
    </row>
    <row r="265" spans="2:13" ht="13.5">
      <c r="B265" s="28"/>
      <c r="C265" s="102" t="s">
        <v>3</v>
      </c>
      <c r="D265" s="102"/>
      <c r="E265" s="103" t="s">
        <v>4</v>
      </c>
      <c r="F265" s="104"/>
      <c r="G265" s="104"/>
      <c r="H265" s="105"/>
      <c r="I265" s="83" t="s">
        <v>64</v>
      </c>
      <c r="J265" s="31" t="s">
        <v>0</v>
      </c>
      <c r="K265" s="28"/>
      <c r="L265" s="32"/>
      <c r="M265" s="33"/>
    </row>
    <row r="266" spans="2:13" ht="12.75">
      <c r="B266" s="28"/>
      <c r="C266" s="95" t="s">
        <v>31</v>
      </c>
      <c r="D266" s="95"/>
      <c r="E266" s="96">
        <v>6471679.73</v>
      </c>
      <c r="F266" s="97"/>
      <c r="G266" s="97"/>
      <c r="H266" s="98"/>
      <c r="I266" s="53">
        <v>4862592.6</v>
      </c>
      <c r="J266" s="34">
        <v>0.75</v>
      </c>
      <c r="K266" s="28"/>
      <c r="L266" s="32"/>
      <c r="M266" s="33"/>
    </row>
    <row r="267" spans="2:13" ht="13.5">
      <c r="B267" s="28"/>
      <c r="C267" s="99" t="s">
        <v>32</v>
      </c>
      <c r="D267" s="99"/>
      <c r="E267" s="96">
        <v>3049233.15</v>
      </c>
      <c r="F267" s="97"/>
      <c r="G267" s="97"/>
      <c r="H267" s="98"/>
      <c r="I267" s="53">
        <v>2885799.72</v>
      </c>
      <c r="J267" s="34">
        <v>0.94</v>
      </c>
      <c r="K267" s="29"/>
      <c r="L267" s="32"/>
      <c r="M267" s="33"/>
    </row>
    <row r="268" spans="2:13" ht="13.5">
      <c r="B268" s="28"/>
      <c r="C268" s="73"/>
      <c r="D268" s="73"/>
      <c r="E268" s="74"/>
      <c r="F268" s="74"/>
      <c r="G268" s="74"/>
      <c r="H268" s="74"/>
      <c r="I268" s="74"/>
      <c r="J268" s="75"/>
      <c r="K268" s="29"/>
      <c r="L268" s="32"/>
      <c r="M268" s="33"/>
    </row>
    <row r="269" spans="2:13" ht="16.5">
      <c r="B269" s="40"/>
      <c r="C269" s="90" t="s">
        <v>5</v>
      </c>
      <c r="D269" s="90"/>
      <c r="E269" s="41"/>
      <c r="F269" s="42"/>
      <c r="G269" s="42"/>
      <c r="H269" s="42" t="s">
        <v>28</v>
      </c>
      <c r="I269" s="43"/>
      <c r="J269" s="91" t="s">
        <v>29</v>
      </c>
      <c r="K269" s="91"/>
      <c r="L269" s="91"/>
      <c r="M269" s="44"/>
    </row>
    <row r="270" spans="2:13" ht="16.5">
      <c r="B270" s="40"/>
      <c r="C270" s="45"/>
      <c r="D270" s="81"/>
      <c r="E270" s="41"/>
      <c r="F270" s="42"/>
      <c r="G270" s="42"/>
      <c r="H270" s="46"/>
      <c r="I270" s="43"/>
      <c r="J270" s="47"/>
      <c r="K270" s="47"/>
      <c r="L270" s="48"/>
      <c r="M270" s="44"/>
    </row>
    <row r="271" spans="2:13" ht="16.5">
      <c r="B271" s="49"/>
      <c r="C271" s="90" t="s">
        <v>30</v>
      </c>
      <c r="D271" s="90"/>
      <c r="E271" s="41"/>
      <c r="F271" s="42"/>
      <c r="G271" s="42"/>
      <c r="H271" s="42" t="s">
        <v>38</v>
      </c>
      <c r="I271" s="43"/>
      <c r="J271" s="91" t="s">
        <v>39</v>
      </c>
      <c r="K271" s="91"/>
      <c r="L271" s="91"/>
      <c r="M271" s="20"/>
    </row>
    <row r="272" spans="2:13" ht="16.5">
      <c r="B272" s="49"/>
      <c r="C272" s="92" t="s">
        <v>40</v>
      </c>
      <c r="D272" s="93"/>
      <c r="E272" s="41"/>
      <c r="F272" s="50"/>
      <c r="G272" s="50"/>
      <c r="H272" s="50" t="s">
        <v>36</v>
      </c>
      <c r="I272" s="43"/>
      <c r="J272" s="94" t="s">
        <v>37</v>
      </c>
      <c r="K272" s="94"/>
      <c r="L272" s="94"/>
      <c r="M272" s="27"/>
    </row>
    <row r="273" spans="2:13" ht="15.75">
      <c r="B273" s="58" t="s">
        <v>34</v>
      </c>
      <c r="C273" s="51"/>
      <c r="D273" s="51"/>
      <c r="E273" s="51"/>
      <c r="F273" s="52"/>
      <c r="G273" s="52"/>
      <c r="H273" s="30"/>
      <c r="I273" s="51"/>
      <c r="J273" s="52"/>
      <c r="K273" s="51"/>
      <c r="L273" s="51"/>
      <c r="M273" s="27"/>
    </row>
    <row r="274" spans="2:13" ht="15.75">
      <c r="B274" s="109" t="s">
        <v>26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</row>
    <row r="275" spans="2:13" ht="15.75">
      <c r="B275" s="7"/>
      <c r="C275" s="5"/>
      <c r="D275" s="5"/>
      <c r="E275" s="5"/>
      <c r="F275" s="5"/>
      <c r="G275" s="5"/>
      <c r="H275" s="19"/>
      <c r="I275" s="5"/>
      <c r="J275" s="5"/>
      <c r="K275" s="5"/>
      <c r="L275" s="5"/>
      <c r="M275" s="19"/>
    </row>
    <row r="276" spans="2:13" ht="15.75">
      <c r="B276" s="109" t="s">
        <v>6</v>
      </c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</row>
    <row r="277" spans="2:13" ht="16.5">
      <c r="B277" s="110" t="s">
        <v>41</v>
      </c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</row>
    <row r="278" spans="2:13" ht="16.5">
      <c r="B278" s="111" t="s">
        <v>75</v>
      </c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2:13" ht="15.75">
      <c r="B279" s="3" t="s">
        <v>15</v>
      </c>
      <c r="C279" s="4"/>
      <c r="D279" s="4"/>
      <c r="E279" s="4"/>
      <c r="F279" s="4"/>
      <c r="G279" s="4"/>
      <c r="H279" s="6"/>
      <c r="I279" s="4"/>
      <c r="J279" s="4"/>
      <c r="K279" s="4"/>
      <c r="L279" s="4"/>
      <c r="M279" s="6"/>
    </row>
    <row r="280" spans="3:12" ht="13.5">
      <c r="C280" s="2"/>
      <c r="D280" s="112" t="s">
        <v>1</v>
      </c>
      <c r="E280" s="112"/>
      <c r="F280" s="113"/>
      <c r="G280" s="113"/>
      <c r="H280" s="113"/>
      <c r="I280" s="112" t="s">
        <v>2</v>
      </c>
      <c r="J280" s="112"/>
      <c r="K280" s="112"/>
      <c r="L280" s="112"/>
    </row>
    <row r="281" spans="2:13" ht="13.5">
      <c r="B281" s="106" t="s">
        <v>8</v>
      </c>
      <c r="C281" s="108" t="s">
        <v>12</v>
      </c>
      <c r="D281" s="108" t="s">
        <v>13</v>
      </c>
      <c r="E281" s="108" t="s">
        <v>16</v>
      </c>
      <c r="F281" s="100" t="s">
        <v>14</v>
      </c>
      <c r="G281" s="87"/>
      <c r="H281" s="100" t="s">
        <v>0</v>
      </c>
      <c r="I281" s="100" t="s">
        <v>22</v>
      </c>
      <c r="J281" s="100" t="s">
        <v>23</v>
      </c>
      <c r="K281" s="100" t="s">
        <v>24</v>
      </c>
      <c r="L281" s="100" t="s">
        <v>25</v>
      </c>
      <c r="M281" s="89" t="s">
        <v>9</v>
      </c>
    </row>
    <row r="282" spans="2:13" ht="13.5">
      <c r="B282" s="107"/>
      <c r="C282" s="108"/>
      <c r="D282" s="108"/>
      <c r="E282" s="108"/>
      <c r="F282" s="100"/>
      <c r="G282" s="87"/>
      <c r="H282" s="100"/>
      <c r="I282" s="100"/>
      <c r="J282" s="100"/>
      <c r="K282" s="100"/>
      <c r="L282" s="100"/>
      <c r="M282" s="1" t="s">
        <v>10</v>
      </c>
    </row>
    <row r="283" spans="2:14" ht="12.75">
      <c r="B283" s="8" t="s">
        <v>35</v>
      </c>
      <c r="C283" s="9">
        <f>SUM(C284:C289)</f>
        <v>10569638.75</v>
      </c>
      <c r="D283" s="9">
        <f>SUM(D284:D289)</f>
        <v>10849840.330000002</v>
      </c>
      <c r="E283" s="9">
        <f>SUM(E284:E289)</f>
        <v>0</v>
      </c>
      <c r="F283" s="9">
        <f>SUM(F284:F289)</f>
        <v>10152063.94</v>
      </c>
      <c r="G283" s="9">
        <f>D283+E283-F283</f>
        <v>697776.3900000025</v>
      </c>
      <c r="H283" s="21">
        <f>F283/(D283+E283)</f>
        <v>0.9356878655558978</v>
      </c>
      <c r="I283" s="9">
        <f>SUM(I284:I289)</f>
        <v>831122.11</v>
      </c>
      <c r="J283" s="9">
        <f>SUM(J284:J289)</f>
        <v>7212.37</v>
      </c>
      <c r="K283" s="9">
        <f>SUM(K284:K289)</f>
        <v>127317.67</v>
      </c>
      <c r="L283" s="9">
        <f>I283+J283-K283</f>
        <v>711016.8099999999</v>
      </c>
      <c r="M283" s="25">
        <f>F283/C283</f>
        <v>0.9604929913049298</v>
      </c>
      <c r="N283" s="17"/>
    </row>
    <row r="284" spans="2:14" ht="12.75">
      <c r="B284" s="11" t="s">
        <v>17</v>
      </c>
      <c r="C284" s="12">
        <v>3522582.85</v>
      </c>
      <c r="D284" s="12">
        <v>4393591.12</v>
      </c>
      <c r="E284" s="12"/>
      <c r="F284" s="12">
        <v>10152063.94</v>
      </c>
      <c r="G284" s="12"/>
      <c r="H284" s="21"/>
      <c r="I284" s="12">
        <v>831122.11</v>
      </c>
      <c r="J284" s="12">
        <f>6804.37+408</f>
        <v>7212.37</v>
      </c>
      <c r="K284" s="12">
        <v>127317.67</v>
      </c>
      <c r="L284" s="10">
        <f>I284+J284-K284</f>
        <v>711016.8099999999</v>
      </c>
      <c r="M284" s="23"/>
      <c r="N284" s="17"/>
    </row>
    <row r="285" spans="2:14" ht="12.75">
      <c r="B285" s="11" t="s">
        <v>18</v>
      </c>
      <c r="C285" s="12">
        <v>6347999.9</v>
      </c>
      <c r="D285" s="12">
        <v>4638293.34</v>
      </c>
      <c r="E285" s="12">
        <v>0</v>
      </c>
      <c r="F285" s="12">
        <v>0</v>
      </c>
      <c r="G285" s="12"/>
      <c r="H285" s="21"/>
      <c r="I285" s="12">
        <v>0</v>
      </c>
      <c r="J285" s="12">
        <v>0</v>
      </c>
      <c r="K285" s="12">
        <v>0</v>
      </c>
      <c r="L285" s="10">
        <v>0</v>
      </c>
      <c r="M285" s="23"/>
      <c r="N285" s="17"/>
    </row>
    <row r="286" spans="2:14" ht="12.75">
      <c r="B286" s="11" t="s">
        <v>19</v>
      </c>
      <c r="C286" s="12">
        <v>696356</v>
      </c>
      <c r="D286" s="12">
        <v>1160344.37</v>
      </c>
      <c r="E286" s="12">
        <v>0</v>
      </c>
      <c r="F286" s="12">
        <v>0</v>
      </c>
      <c r="G286" s="12"/>
      <c r="H286" s="21"/>
      <c r="I286" s="12">
        <v>0</v>
      </c>
      <c r="J286" s="12">
        <v>0</v>
      </c>
      <c r="K286" s="12">
        <v>0</v>
      </c>
      <c r="L286" s="10">
        <v>0</v>
      </c>
      <c r="M286" s="23"/>
      <c r="N286" s="17"/>
    </row>
    <row r="287" spans="2:14" ht="12.75">
      <c r="B287" s="11" t="s">
        <v>20</v>
      </c>
      <c r="C287" s="12">
        <v>0</v>
      </c>
      <c r="D287" s="12">
        <v>657611.5</v>
      </c>
      <c r="E287" s="12">
        <v>0</v>
      </c>
      <c r="F287" s="12">
        <v>0</v>
      </c>
      <c r="G287" s="12"/>
      <c r="H287" s="21"/>
      <c r="I287" s="12">
        <v>0</v>
      </c>
      <c r="J287" s="12">
        <v>0</v>
      </c>
      <c r="K287" s="12">
        <v>0</v>
      </c>
      <c r="L287" s="10">
        <v>0</v>
      </c>
      <c r="M287" s="23"/>
      <c r="N287" s="17"/>
    </row>
    <row r="288" spans="2:14" ht="12.75">
      <c r="B288" s="11" t="s">
        <v>21</v>
      </c>
      <c r="C288" s="12">
        <v>0</v>
      </c>
      <c r="D288" s="12">
        <v>0</v>
      </c>
      <c r="E288" s="12">
        <v>0</v>
      </c>
      <c r="F288" s="12">
        <v>0</v>
      </c>
      <c r="G288" s="12"/>
      <c r="H288" s="21"/>
      <c r="I288" s="12">
        <v>0</v>
      </c>
      <c r="J288" s="12">
        <v>0</v>
      </c>
      <c r="K288" s="12">
        <v>0</v>
      </c>
      <c r="L288" s="10">
        <v>0</v>
      </c>
      <c r="M288" s="23"/>
      <c r="N288" s="17"/>
    </row>
    <row r="289" spans="2:14" ht="12.75">
      <c r="B289" s="11" t="s">
        <v>51</v>
      </c>
      <c r="C289" s="12">
        <v>2700</v>
      </c>
      <c r="D289" s="12">
        <v>0</v>
      </c>
      <c r="E289" s="12">
        <v>0</v>
      </c>
      <c r="F289" s="12">
        <v>0</v>
      </c>
      <c r="G289" s="12"/>
      <c r="H289" s="21"/>
      <c r="I289" s="12">
        <v>0</v>
      </c>
      <c r="J289" s="12">
        <v>0</v>
      </c>
      <c r="K289" s="12">
        <v>0</v>
      </c>
      <c r="L289" s="10">
        <v>0</v>
      </c>
      <c r="M289" s="23"/>
      <c r="N289" s="17"/>
    </row>
    <row r="290" spans="2:14" ht="12.75">
      <c r="B290" s="8" t="s">
        <v>27</v>
      </c>
      <c r="C290" s="9">
        <f>SUM(C291:C303)</f>
        <v>79745402.21000001</v>
      </c>
      <c r="D290" s="9">
        <f>SUM(D291:D304)</f>
        <v>82658828.00999999</v>
      </c>
      <c r="E290" s="9">
        <f>SUM(E291:E303)</f>
        <v>29288.629999999997</v>
      </c>
      <c r="F290" s="9">
        <f>SUM(F291:F304)</f>
        <v>72924762.58999999</v>
      </c>
      <c r="G290" s="9">
        <f>SUM(G291:G303)</f>
        <v>9606684.189999998</v>
      </c>
      <c r="H290" s="21"/>
      <c r="I290" s="9">
        <f>SUM(I291:I304)</f>
        <v>8079102.169999999</v>
      </c>
      <c r="J290" s="9">
        <f>SUM(J291:J304)</f>
        <v>2669543.69</v>
      </c>
      <c r="K290" s="9">
        <f>SUM(K291:K304)</f>
        <v>927794.8700000001</v>
      </c>
      <c r="L290" s="9">
        <f>SUM(L291:L304)</f>
        <v>9820850.99</v>
      </c>
      <c r="M290" s="25"/>
      <c r="N290" s="17"/>
    </row>
    <row r="291" spans="2:15" ht="12.75">
      <c r="B291" s="11" t="s">
        <v>54</v>
      </c>
      <c r="C291" s="12">
        <v>26444293</v>
      </c>
      <c r="D291" s="12">
        <v>24895554.58</v>
      </c>
      <c r="E291" s="12">
        <v>0</v>
      </c>
      <c r="F291" s="12">
        <v>24892538.86</v>
      </c>
      <c r="G291" s="12">
        <f aca="true" t="shared" si="34" ref="G291:G302">D291+E291-F291</f>
        <v>3015.719999998808</v>
      </c>
      <c r="H291" s="21">
        <f aca="true" t="shared" si="35" ref="H291:H302">F291/(D291+E291)</f>
        <v>0.9998788651206661</v>
      </c>
      <c r="I291" s="12">
        <v>43431.05</v>
      </c>
      <c r="J291" s="12">
        <f>4240+251661.15+66302.7+102005.03</f>
        <v>424208.88</v>
      </c>
      <c r="K291" s="12">
        <f>293789.15+108372.12+178+4788</f>
        <v>407127.27</v>
      </c>
      <c r="L291" s="10">
        <f>I291+J291-K291</f>
        <v>60512.659999999974</v>
      </c>
      <c r="M291" s="25">
        <f>F291/C291</f>
        <v>0.9413198855420336</v>
      </c>
      <c r="N291" s="17"/>
      <c r="O291" s="17"/>
    </row>
    <row r="292" spans="2:14" ht="12.75">
      <c r="B292" s="11" t="s">
        <v>55</v>
      </c>
      <c r="C292" s="12">
        <v>12591512</v>
      </c>
      <c r="D292" s="12">
        <v>12591512</v>
      </c>
      <c r="E292" s="12">
        <v>13831.6</v>
      </c>
      <c r="F292" s="12">
        <v>9719370.42</v>
      </c>
      <c r="G292" s="12">
        <f t="shared" si="34"/>
        <v>2885973.1799999997</v>
      </c>
      <c r="H292" s="21">
        <f t="shared" si="35"/>
        <v>0.7710516054477087</v>
      </c>
      <c r="I292" s="12">
        <v>2058062.97</v>
      </c>
      <c r="J292" s="12">
        <f>90839.24+267177.09+502354.66</f>
        <v>860370.99</v>
      </c>
      <c r="K292" s="12">
        <f>21640.52+10820.26</f>
        <v>32460.78</v>
      </c>
      <c r="L292" s="10">
        <f>I292+J292-K292</f>
        <v>2885973.18</v>
      </c>
      <c r="M292" s="25">
        <f aca="true" t="shared" si="36" ref="M292:M300">F292/C292</f>
        <v>0.7718985948629521</v>
      </c>
      <c r="N292" s="17"/>
    </row>
    <row r="293" spans="2:14" ht="12.75">
      <c r="B293" s="11" t="s">
        <v>56</v>
      </c>
      <c r="C293" s="12">
        <v>25407614.43</v>
      </c>
      <c r="D293" s="12">
        <v>25407614.43</v>
      </c>
      <c r="E293" s="12">
        <v>10140.13</v>
      </c>
      <c r="F293" s="12">
        <f>25340816.24-50</f>
        <v>25340766.24</v>
      </c>
      <c r="G293" s="12">
        <f t="shared" si="34"/>
        <v>76988.3200000003</v>
      </c>
      <c r="H293" s="21">
        <f t="shared" si="35"/>
        <v>0.9969710809891462</v>
      </c>
      <c r="I293" s="12">
        <v>273040.82</v>
      </c>
      <c r="J293" s="12"/>
      <c r="K293" s="12">
        <f>196052.5</f>
        <v>196052.5</v>
      </c>
      <c r="L293" s="10">
        <f>I293+J293-K293</f>
        <v>76988.32</v>
      </c>
      <c r="M293" s="25">
        <f t="shared" si="36"/>
        <v>0.9973689702280325</v>
      </c>
      <c r="N293" s="17"/>
    </row>
    <row r="294" spans="2:14" ht="12.75">
      <c r="B294" s="11" t="s">
        <v>57</v>
      </c>
      <c r="C294" s="12">
        <v>1057470</v>
      </c>
      <c r="D294" s="12">
        <v>874555.7</v>
      </c>
      <c r="E294" s="12">
        <v>1044.67</v>
      </c>
      <c r="F294" s="12">
        <v>778319.62</v>
      </c>
      <c r="G294" s="12">
        <f t="shared" si="34"/>
        <v>97280.75</v>
      </c>
      <c r="H294" s="21">
        <f t="shared" si="35"/>
        <v>0.8888982310503135</v>
      </c>
      <c r="I294" s="12">
        <v>147650.4</v>
      </c>
      <c r="J294" s="12">
        <v>4788</v>
      </c>
      <c r="K294" s="12">
        <f>28553+8843.68+17760.97</f>
        <v>55157.65</v>
      </c>
      <c r="L294" s="10">
        <f>I294+J294-K294</f>
        <v>97280.75</v>
      </c>
      <c r="M294" s="25">
        <f t="shared" si="36"/>
        <v>0.7360205206767095</v>
      </c>
      <c r="N294" s="17"/>
    </row>
    <row r="295" spans="2:14" ht="12.75">
      <c r="B295" s="11" t="s">
        <v>58</v>
      </c>
      <c r="C295" s="12">
        <v>12329603</v>
      </c>
      <c r="D295" s="12">
        <v>12234897.68</v>
      </c>
      <c r="E295" s="12">
        <v>0.19</v>
      </c>
      <c r="F295" s="12">
        <v>7374468.17</v>
      </c>
      <c r="G295" s="12">
        <f t="shared" si="34"/>
        <v>4860429.699999999</v>
      </c>
      <c r="H295" s="21">
        <f t="shared" si="35"/>
        <v>0.6027404763289618</v>
      </c>
      <c r="I295" s="12">
        <v>3748946.21</v>
      </c>
      <c r="J295" s="12">
        <f>428994.85+85832.32+727314.17</f>
        <v>1242141.34</v>
      </c>
      <c r="K295" s="12">
        <f>109609.17+20640.68+408</f>
        <v>130657.85</v>
      </c>
      <c r="L295" s="10">
        <f aca="true" t="shared" si="37" ref="L295:L302">I295+J295-K295</f>
        <v>4860429.7</v>
      </c>
      <c r="M295" s="25">
        <f t="shared" si="36"/>
        <v>0.5981107558775413</v>
      </c>
      <c r="N295" s="17"/>
    </row>
    <row r="296" spans="2:14" ht="12.75">
      <c r="B296" s="11" t="s">
        <v>59</v>
      </c>
      <c r="C296" s="12">
        <v>1167126</v>
      </c>
      <c r="D296" s="12">
        <v>825227.61</v>
      </c>
      <c r="E296" s="12">
        <v>792.59</v>
      </c>
      <c r="F296" s="12">
        <v>519099.4</v>
      </c>
      <c r="G296" s="12">
        <f t="shared" si="34"/>
        <v>306920.79999999993</v>
      </c>
      <c r="H296" s="21">
        <f t="shared" si="35"/>
        <v>0.6284342683145038</v>
      </c>
      <c r="I296" s="12">
        <v>306920.8</v>
      </c>
      <c r="J296" s="12">
        <v>0</v>
      </c>
      <c r="K296" s="12"/>
      <c r="L296" s="10">
        <f t="shared" si="37"/>
        <v>306920.8</v>
      </c>
      <c r="M296" s="25">
        <f t="shared" si="36"/>
        <v>0.44476723164422693</v>
      </c>
      <c r="N296" s="17"/>
    </row>
    <row r="297" spans="2:14" ht="12.75">
      <c r="B297" s="11" t="s">
        <v>60</v>
      </c>
      <c r="C297" s="12">
        <v>161698</v>
      </c>
      <c r="D297" s="12">
        <v>274695.42</v>
      </c>
      <c r="E297" s="12">
        <v>312.69</v>
      </c>
      <c r="F297" s="12">
        <v>227103</v>
      </c>
      <c r="G297" s="12">
        <f t="shared" si="34"/>
        <v>47905.109999999986</v>
      </c>
      <c r="H297" s="21">
        <f t="shared" si="35"/>
        <v>0.82580473717666</v>
      </c>
      <c r="I297" s="12">
        <v>70493.11</v>
      </c>
      <c r="J297" s="12">
        <v>178</v>
      </c>
      <c r="K297" s="12">
        <v>22766</v>
      </c>
      <c r="L297" s="10">
        <f t="shared" si="37"/>
        <v>47905.11</v>
      </c>
      <c r="M297" s="25">
        <f t="shared" si="36"/>
        <v>1.404488614577793</v>
      </c>
      <c r="N297" s="17"/>
    </row>
    <row r="298" spans="2:14" ht="12.75">
      <c r="B298" s="11" t="s">
        <v>61</v>
      </c>
      <c r="C298" s="12">
        <v>44192</v>
      </c>
      <c r="D298" s="12">
        <v>44196.85</v>
      </c>
      <c r="E298" s="12">
        <v>28.26</v>
      </c>
      <c r="F298" s="12">
        <v>23559.2</v>
      </c>
      <c r="G298" s="12">
        <f t="shared" si="34"/>
        <v>20665.91</v>
      </c>
      <c r="H298" s="21">
        <f t="shared" si="35"/>
        <v>0.5327109418156337</v>
      </c>
      <c r="I298" s="12">
        <v>20665.91</v>
      </c>
      <c r="J298" s="12">
        <v>0</v>
      </c>
      <c r="K298" s="12">
        <v>0</v>
      </c>
      <c r="L298" s="10">
        <f t="shared" si="37"/>
        <v>20665.91</v>
      </c>
      <c r="M298" s="25">
        <f t="shared" si="36"/>
        <v>0.5331100651701666</v>
      </c>
      <c r="N298" s="17"/>
    </row>
    <row r="299" spans="2:14" ht="12.75">
      <c r="B299" s="11" t="s">
        <v>62</v>
      </c>
      <c r="C299" s="12">
        <v>439401</v>
      </c>
      <c r="D299" s="12">
        <v>422313.78</v>
      </c>
      <c r="E299" s="12">
        <v>490.49</v>
      </c>
      <c r="F299" s="12">
        <v>392426.11</v>
      </c>
      <c r="G299" s="12">
        <f t="shared" si="34"/>
        <v>30378.160000000033</v>
      </c>
      <c r="H299" s="21">
        <f t="shared" si="35"/>
        <v>0.9281507729333007</v>
      </c>
      <c r="I299" s="12">
        <v>69213.01</v>
      </c>
      <c r="J299" s="12">
        <v>0</v>
      </c>
      <c r="K299" s="12">
        <v>38834.85</v>
      </c>
      <c r="L299" s="10">
        <f t="shared" si="37"/>
        <v>30378.159999999996</v>
      </c>
      <c r="M299" s="25">
        <f t="shared" si="36"/>
        <v>0.8930933475344844</v>
      </c>
      <c r="N299" s="17"/>
    </row>
    <row r="300" spans="2:14" ht="12.75">
      <c r="B300" s="11" t="s">
        <v>63</v>
      </c>
      <c r="C300" s="12">
        <v>102492.78</v>
      </c>
      <c r="D300" s="12">
        <v>447518.87</v>
      </c>
      <c r="E300" s="12">
        <v>0</v>
      </c>
      <c r="F300" s="12">
        <v>283440.17</v>
      </c>
      <c r="G300" s="12">
        <f t="shared" si="34"/>
        <v>164078.7</v>
      </c>
      <c r="H300" s="21">
        <f t="shared" si="35"/>
        <v>0.6333591475148299</v>
      </c>
      <c r="I300" s="12">
        <v>39665.52</v>
      </c>
      <c r="J300" s="12">
        <f>108372.12+20640.68+8843.68</f>
        <v>137856.47999999998</v>
      </c>
      <c r="K300" s="12">
        <v>13443.3</v>
      </c>
      <c r="L300" s="10">
        <f t="shared" si="37"/>
        <v>164078.69999999998</v>
      </c>
      <c r="M300" s="25">
        <f>F300/C300</f>
        <v>2.7654647478583367</v>
      </c>
      <c r="N300" s="17"/>
    </row>
    <row r="301" spans="2:14" ht="12.75">
      <c r="B301" s="11" t="s">
        <v>65</v>
      </c>
      <c r="C301" s="12">
        <v>0</v>
      </c>
      <c r="D301" s="12">
        <v>2251953.38</v>
      </c>
      <c r="E301" s="12">
        <v>2648.01</v>
      </c>
      <c r="F301" s="12">
        <v>1142617.71</v>
      </c>
      <c r="G301" s="12">
        <f t="shared" si="34"/>
        <v>1111983.6799999997</v>
      </c>
      <c r="H301" s="21">
        <f t="shared" si="35"/>
        <v>0.5067936687469177</v>
      </c>
      <c r="I301" s="12">
        <v>1114583.68</v>
      </c>
      <c r="J301" s="12">
        <v>0</v>
      </c>
      <c r="K301" s="12">
        <v>2600</v>
      </c>
      <c r="L301" s="10">
        <f t="shared" si="37"/>
        <v>1111983.68</v>
      </c>
      <c r="M301" s="25">
        <v>0</v>
      </c>
      <c r="N301" s="17"/>
    </row>
    <row r="302" spans="2:14" ht="12.75">
      <c r="B302" s="11" t="s">
        <v>67</v>
      </c>
      <c r="C302" s="12">
        <v>0</v>
      </c>
      <c r="D302" s="12">
        <v>1110591</v>
      </c>
      <c r="E302" s="12">
        <v>0</v>
      </c>
      <c r="F302" s="12">
        <v>1110591</v>
      </c>
      <c r="G302" s="12">
        <f t="shared" si="34"/>
        <v>0</v>
      </c>
      <c r="H302" s="21">
        <f t="shared" si="35"/>
        <v>1</v>
      </c>
      <c r="I302" s="12">
        <v>0</v>
      </c>
      <c r="J302" s="12"/>
      <c r="K302" s="12"/>
      <c r="L302" s="10">
        <f t="shared" si="37"/>
        <v>0</v>
      </c>
      <c r="M302" s="25">
        <v>0</v>
      </c>
      <c r="N302" s="17"/>
    </row>
    <row r="303" spans="2:14" ht="12.75">
      <c r="B303" s="11" t="s">
        <v>70</v>
      </c>
      <c r="C303" s="12">
        <v>0</v>
      </c>
      <c r="D303" s="12">
        <v>1109526.85</v>
      </c>
      <c r="E303" s="12"/>
      <c r="F303" s="12">
        <v>1108462.69</v>
      </c>
      <c r="G303" s="12">
        <f>D302+D303-F302-F303</f>
        <v>1064.160000000149</v>
      </c>
      <c r="H303" s="21"/>
      <c r="I303" s="12">
        <v>29758.83</v>
      </c>
      <c r="J303" s="12"/>
      <c r="K303" s="12">
        <f>19129.78+9564.89</f>
        <v>28694.67</v>
      </c>
      <c r="L303" s="10">
        <f>I303+J303-K303</f>
        <v>1064.1600000000035</v>
      </c>
      <c r="M303" s="25">
        <v>0</v>
      </c>
      <c r="N303" s="17"/>
    </row>
    <row r="304" spans="2:14" ht="12.75">
      <c r="B304" s="11" t="s">
        <v>73</v>
      </c>
      <c r="C304" s="12">
        <v>0</v>
      </c>
      <c r="D304" s="12">
        <v>168669.86</v>
      </c>
      <c r="E304" s="12"/>
      <c r="F304" s="12">
        <v>12000</v>
      </c>
      <c r="G304" s="12">
        <f>D304+E304-F304</f>
        <v>156669.86</v>
      </c>
      <c r="H304" s="21"/>
      <c r="I304" s="12">
        <v>156669.86</v>
      </c>
      <c r="J304" s="12">
        <v>0</v>
      </c>
      <c r="K304" s="12"/>
      <c r="L304" s="10">
        <f>I304+J304-K304</f>
        <v>156669.86</v>
      </c>
      <c r="M304" s="25">
        <v>0</v>
      </c>
      <c r="N304" s="17"/>
    </row>
    <row r="305" spans="2:13" ht="12.75">
      <c r="B305" s="8" t="s">
        <v>33</v>
      </c>
      <c r="C305" s="9">
        <f>SUM(C306:C316)</f>
        <v>6584416.71</v>
      </c>
      <c r="D305" s="9">
        <f>SUM(D306:D317)</f>
        <v>131433.9</v>
      </c>
      <c r="E305" s="9">
        <f>SUM(E306:E317)</f>
        <v>3067.09</v>
      </c>
      <c r="F305" s="9">
        <f>SUM(F306:F317)</f>
        <v>6377917.33</v>
      </c>
      <c r="G305" s="9">
        <f>D305+E305-F305</f>
        <v>-6243416.34</v>
      </c>
      <c r="H305" s="22"/>
      <c r="I305" s="9">
        <f>SUM(I306:I317)</f>
        <v>712705.3700000001</v>
      </c>
      <c r="J305" s="9">
        <f>SUM(J306:J317)</f>
        <v>14337.5</v>
      </c>
      <c r="K305" s="9">
        <f>SUM(K306:K317)</f>
        <v>1051911.61</v>
      </c>
      <c r="L305" s="9">
        <f>SUM(L306:L317)</f>
        <v>164889.86000000002</v>
      </c>
      <c r="M305" s="25">
        <v>0</v>
      </c>
    </row>
    <row r="306" spans="2:13" ht="12.75">
      <c r="B306" s="11" t="s">
        <v>42</v>
      </c>
      <c r="C306" s="12">
        <v>160009.44</v>
      </c>
      <c r="D306" s="12">
        <v>122861.9</v>
      </c>
      <c r="E306" s="12">
        <v>126.53</v>
      </c>
      <c r="F306" s="12">
        <v>152995.34</v>
      </c>
      <c r="G306" s="12">
        <f aca="true" t="shared" si="38" ref="G306:G317">D306+E306-F306</f>
        <v>-30006.910000000003</v>
      </c>
      <c r="H306" s="24"/>
      <c r="I306" s="12">
        <v>35508.19</v>
      </c>
      <c r="J306" s="12">
        <v>0</v>
      </c>
      <c r="K306" s="12">
        <v>0</v>
      </c>
      <c r="L306" s="10">
        <v>0</v>
      </c>
      <c r="M306" s="23">
        <f aca="true" t="shared" si="39" ref="M306:M316">F306/C306</f>
        <v>0.9561644612967835</v>
      </c>
    </row>
    <row r="307" spans="2:13" ht="12.75">
      <c r="B307" s="11" t="s">
        <v>43</v>
      </c>
      <c r="C307" s="12">
        <v>439871.16</v>
      </c>
      <c r="D307" s="12">
        <v>0</v>
      </c>
      <c r="E307" s="12">
        <v>71.41</v>
      </c>
      <c r="F307" s="12">
        <v>439871.16</v>
      </c>
      <c r="G307" s="12">
        <f t="shared" si="38"/>
        <v>-439799.75</v>
      </c>
      <c r="H307" s="24"/>
      <c r="I307" s="12">
        <v>0</v>
      </c>
      <c r="J307" s="12"/>
      <c r="K307" s="12">
        <v>0</v>
      </c>
      <c r="L307" s="10">
        <f aca="true" t="shared" si="40" ref="L307:L316">I307+J307-K307</f>
        <v>0</v>
      </c>
      <c r="M307" s="23">
        <f t="shared" si="39"/>
        <v>1</v>
      </c>
    </row>
    <row r="308" spans="2:13" ht="12.75">
      <c r="B308" s="11" t="s">
        <v>44</v>
      </c>
      <c r="C308" s="12">
        <v>354507.28</v>
      </c>
      <c r="D308" s="12">
        <v>8572</v>
      </c>
      <c r="E308" s="12">
        <v>81.07</v>
      </c>
      <c r="F308" s="12">
        <v>354588.35</v>
      </c>
      <c r="G308" s="12">
        <f t="shared" si="38"/>
        <v>-345935.27999999997</v>
      </c>
      <c r="H308" s="24"/>
      <c r="I308" s="12">
        <v>0</v>
      </c>
      <c r="J308" s="12">
        <v>0</v>
      </c>
      <c r="K308" s="12">
        <v>0</v>
      </c>
      <c r="L308" s="10">
        <f t="shared" si="40"/>
        <v>0</v>
      </c>
      <c r="M308" s="23">
        <f t="shared" si="39"/>
        <v>1.0002286835971321</v>
      </c>
    </row>
    <row r="309" spans="2:13" ht="12.75">
      <c r="B309" s="11" t="s">
        <v>45</v>
      </c>
      <c r="C309" s="12">
        <v>1002913.77</v>
      </c>
      <c r="D309" s="12">
        <v>0</v>
      </c>
      <c r="E309" s="12">
        <v>384.78</v>
      </c>
      <c r="F309" s="12">
        <v>1002913.77</v>
      </c>
      <c r="G309" s="12">
        <f t="shared" si="38"/>
        <v>-1002528.99</v>
      </c>
      <c r="H309" s="24"/>
      <c r="I309" s="12">
        <v>0</v>
      </c>
      <c r="J309" s="12">
        <v>0</v>
      </c>
      <c r="K309" s="12">
        <v>0</v>
      </c>
      <c r="L309" s="10">
        <f t="shared" si="40"/>
        <v>0</v>
      </c>
      <c r="M309" s="23">
        <f t="shared" si="39"/>
        <v>1</v>
      </c>
    </row>
    <row r="310" spans="2:13" ht="12.75">
      <c r="B310" s="11" t="s">
        <v>46</v>
      </c>
      <c r="C310" s="12">
        <v>41804.34</v>
      </c>
      <c r="D310" s="12">
        <v>0</v>
      </c>
      <c r="E310" s="12">
        <v>8.51</v>
      </c>
      <c r="F310" s="12">
        <v>41811.06</v>
      </c>
      <c r="G310" s="12">
        <f t="shared" si="38"/>
        <v>-41802.549999999996</v>
      </c>
      <c r="H310" s="24"/>
      <c r="I310" s="12">
        <v>0</v>
      </c>
      <c r="J310" s="12">
        <v>0</v>
      </c>
      <c r="K310" s="12">
        <v>0</v>
      </c>
      <c r="L310" s="10">
        <f t="shared" si="40"/>
        <v>0</v>
      </c>
      <c r="M310" s="23">
        <f t="shared" si="39"/>
        <v>1.0001607488600466</v>
      </c>
    </row>
    <row r="311" spans="2:13" ht="12.75">
      <c r="B311" s="11" t="s">
        <v>47</v>
      </c>
      <c r="C311" s="12">
        <v>92195.51</v>
      </c>
      <c r="D311" s="12">
        <v>0</v>
      </c>
      <c r="E311" s="12">
        <v>6.49</v>
      </c>
      <c r="F311" s="12">
        <v>92195.51</v>
      </c>
      <c r="G311" s="12">
        <f t="shared" si="38"/>
        <v>-92189.01999999999</v>
      </c>
      <c r="H311" s="24"/>
      <c r="I311" s="12">
        <v>0</v>
      </c>
      <c r="J311" s="12">
        <v>0</v>
      </c>
      <c r="K311" s="12">
        <v>0</v>
      </c>
      <c r="L311" s="10">
        <f t="shared" si="40"/>
        <v>0</v>
      </c>
      <c r="M311" s="23">
        <f t="shared" si="39"/>
        <v>1</v>
      </c>
    </row>
    <row r="312" spans="2:13" ht="12.75">
      <c r="B312" s="11" t="s">
        <v>48</v>
      </c>
      <c r="C312" s="12">
        <v>21421.27</v>
      </c>
      <c r="D312" s="12">
        <v>0</v>
      </c>
      <c r="E312" s="12">
        <v>3.02</v>
      </c>
      <c r="F312" s="12">
        <v>21421.27</v>
      </c>
      <c r="G312" s="12">
        <f t="shared" si="38"/>
        <v>-21418.25</v>
      </c>
      <c r="H312" s="24"/>
      <c r="I312" s="12">
        <v>0</v>
      </c>
      <c r="J312" s="12">
        <v>0</v>
      </c>
      <c r="K312" s="12">
        <v>0</v>
      </c>
      <c r="L312" s="10">
        <f t="shared" si="40"/>
        <v>0</v>
      </c>
      <c r="M312" s="23">
        <f t="shared" si="39"/>
        <v>1</v>
      </c>
    </row>
    <row r="313" spans="2:13" ht="12.75">
      <c r="B313" s="11" t="s">
        <v>49</v>
      </c>
      <c r="C313" s="12">
        <v>4228.4</v>
      </c>
      <c r="D313" s="12">
        <v>0</v>
      </c>
      <c r="E313" s="12">
        <v>0</v>
      </c>
      <c r="F313" s="12">
        <v>4228.4</v>
      </c>
      <c r="G313" s="12">
        <f t="shared" si="38"/>
        <v>-4228.4</v>
      </c>
      <c r="H313" s="24"/>
      <c r="I313" s="12">
        <v>0</v>
      </c>
      <c r="J313" s="12">
        <v>0</v>
      </c>
      <c r="K313" s="12">
        <v>0</v>
      </c>
      <c r="L313" s="10">
        <f t="shared" si="40"/>
        <v>0</v>
      </c>
      <c r="M313" s="23">
        <f t="shared" si="39"/>
        <v>1</v>
      </c>
    </row>
    <row r="314" spans="2:13" ht="12.75">
      <c r="B314" s="11" t="s">
        <v>50</v>
      </c>
      <c r="C314" s="12">
        <v>232420.37</v>
      </c>
      <c r="D314" s="12">
        <v>0</v>
      </c>
      <c r="E314" s="12">
        <v>32.89</v>
      </c>
      <c r="F314" s="12">
        <v>232451.37</v>
      </c>
      <c r="G314" s="12">
        <f t="shared" si="38"/>
        <v>-232418.47999999998</v>
      </c>
      <c r="H314" s="24"/>
      <c r="I314" s="12">
        <v>0</v>
      </c>
      <c r="J314" s="12">
        <v>0</v>
      </c>
      <c r="K314" s="12">
        <v>0</v>
      </c>
      <c r="L314" s="10">
        <f t="shared" si="40"/>
        <v>0</v>
      </c>
      <c r="M314" s="23">
        <f t="shared" si="39"/>
        <v>1.000133379014929</v>
      </c>
    </row>
    <row r="315" spans="2:13" ht="12.75">
      <c r="B315" s="11" t="s">
        <v>52</v>
      </c>
      <c r="C315" s="12">
        <v>4072457.96</v>
      </c>
      <c r="D315" s="12">
        <v>0</v>
      </c>
      <c r="E315" s="12">
        <v>0</v>
      </c>
      <c r="F315" s="12">
        <v>4035441.1</v>
      </c>
      <c r="G315" s="12">
        <f t="shared" si="38"/>
        <v>-4035441.1</v>
      </c>
      <c r="H315" s="24"/>
      <c r="I315" s="12">
        <v>0</v>
      </c>
      <c r="J315" s="12">
        <v>0</v>
      </c>
      <c r="K315" s="12">
        <v>0</v>
      </c>
      <c r="L315" s="10">
        <f t="shared" si="40"/>
        <v>0</v>
      </c>
      <c r="M315" s="23">
        <f t="shared" si="39"/>
        <v>0.9909104377838686</v>
      </c>
    </row>
    <row r="316" spans="2:13" ht="12.75">
      <c r="B316" s="11" t="s">
        <v>66</v>
      </c>
      <c r="C316" s="12">
        <f>41574.61+60747.7+60264.9</f>
        <v>162587.21</v>
      </c>
      <c r="D316" s="12">
        <v>0</v>
      </c>
      <c r="E316" s="12">
        <f>317.81+145.8</f>
        <v>463.61</v>
      </c>
      <c r="F316" s="12">
        <v>0</v>
      </c>
      <c r="G316" s="12">
        <f t="shared" si="38"/>
        <v>463.61</v>
      </c>
      <c r="H316" s="24"/>
      <c r="I316" s="12">
        <f>113051.88+115.58+51722.4</f>
        <v>164889.86000000002</v>
      </c>
      <c r="J316" s="12">
        <v>0</v>
      </c>
      <c r="K316" s="12">
        <v>0</v>
      </c>
      <c r="L316" s="10">
        <f t="shared" si="40"/>
        <v>164889.86000000002</v>
      </c>
      <c r="M316" s="23">
        <f t="shared" si="39"/>
        <v>0</v>
      </c>
    </row>
    <row r="317" spans="2:13" ht="12.75">
      <c r="B317" s="11" t="s">
        <v>53</v>
      </c>
      <c r="C317" s="12">
        <v>0</v>
      </c>
      <c r="D317" s="12">
        <v>0</v>
      </c>
      <c r="E317" s="12">
        <f>26.77+688.97+162.75+16.17+258.74+338.27+386+11.11</f>
        <v>1888.78</v>
      </c>
      <c r="F317" s="12">
        <v>0</v>
      </c>
      <c r="G317" s="12">
        <f t="shared" si="38"/>
        <v>1888.78</v>
      </c>
      <c r="H317" s="24"/>
      <c r="I317" s="12">
        <f>11515.89+245081.49+57893.7+9120.49+92035.82+742.33+95917.6</f>
        <v>512307.32000000007</v>
      </c>
      <c r="J317" s="12">
        <f>13641.5+696</f>
        <v>14337.5</v>
      </c>
      <c r="K317" s="12">
        <f>148258.24+805263.61+6806.29+91583.36+0.11</f>
        <v>1051911.61</v>
      </c>
      <c r="L317" s="12">
        <v>0</v>
      </c>
      <c r="M317" s="23">
        <v>0</v>
      </c>
    </row>
    <row r="318" spans="2:13" ht="12.75">
      <c r="B318" s="13" t="s">
        <v>7</v>
      </c>
      <c r="C318" s="9">
        <f>C283+C290+C305</f>
        <v>96899457.67</v>
      </c>
      <c r="D318" s="9">
        <f>D283+D290+D305</f>
        <v>93640102.24</v>
      </c>
      <c r="E318" s="9">
        <f>E283+E290+E305</f>
        <v>32355.719999999998</v>
      </c>
      <c r="F318" s="9">
        <f>F283+F290+F305</f>
        <v>89454743.85999998</v>
      </c>
      <c r="G318" s="9">
        <f>D318+E318-F318</f>
        <v>4217714.100000009</v>
      </c>
      <c r="H318" s="22"/>
      <c r="I318" s="9">
        <f>I305+I290+I283</f>
        <v>9622929.649999999</v>
      </c>
      <c r="J318" s="9">
        <f>J305+J290+J283</f>
        <v>2691093.56</v>
      </c>
      <c r="K318" s="9">
        <f>K305+K290+K283</f>
        <v>2107024.1500000004</v>
      </c>
      <c r="L318" s="9">
        <f>L305+L290+L283</f>
        <v>10696757.66</v>
      </c>
      <c r="M318" s="26"/>
    </row>
    <row r="319" spans="2:13" ht="12.75">
      <c r="B319" s="28"/>
      <c r="C319" s="29"/>
      <c r="D319" s="101" t="s">
        <v>11</v>
      </c>
      <c r="E319" s="101"/>
      <c r="F319" s="101"/>
      <c r="G319" s="101"/>
      <c r="H319" s="101"/>
      <c r="I319" s="101"/>
      <c r="J319" s="101"/>
      <c r="K319" s="29"/>
      <c r="L319" s="29"/>
      <c r="M319" s="63"/>
    </row>
    <row r="320" spans="2:13" ht="13.5">
      <c r="B320" s="28"/>
      <c r="C320" s="102" t="s">
        <v>3</v>
      </c>
      <c r="D320" s="102"/>
      <c r="E320" s="103" t="s">
        <v>4</v>
      </c>
      <c r="F320" s="104"/>
      <c r="G320" s="104"/>
      <c r="H320" s="105"/>
      <c r="I320" s="88" t="s">
        <v>64</v>
      </c>
      <c r="J320" s="31" t="s">
        <v>0</v>
      </c>
      <c r="K320" s="28"/>
      <c r="L320" s="32"/>
      <c r="M320" s="33"/>
    </row>
    <row r="321" spans="2:13" ht="12.75">
      <c r="B321" s="28"/>
      <c r="C321" s="95" t="s">
        <v>31</v>
      </c>
      <c r="D321" s="95"/>
      <c r="E321" s="96">
        <v>5771679.73</v>
      </c>
      <c r="F321" s="97"/>
      <c r="G321" s="97"/>
      <c r="H321" s="98"/>
      <c r="I321" s="53">
        <v>5771679.73</v>
      </c>
      <c r="J321" s="34">
        <v>1</v>
      </c>
      <c r="K321" s="28"/>
      <c r="L321" s="32"/>
      <c r="M321" s="33"/>
    </row>
    <row r="322" spans="2:13" ht="13.5">
      <c r="B322" s="28"/>
      <c r="C322" s="99" t="s">
        <v>32</v>
      </c>
      <c r="D322" s="99"/>
      <c r="E322" s="96">
        <v>3011111.48</v>
      </c>
      <c r="F322" s="97"/>
      <c r="G322" s="97"/>
      <c r="H322" s="98"/>
      <c r="I322" s="53">
        <v>3001825.93</v>
      </c>
      <c r="J322" s="34">
        <v>0.97</v>
      </c>
      <c r="K322" s="29"/>
      <c r="L322" s="32"/>
      <c r="M322" s="33"/>
    </row>
    <row r="323" spans="2:13" ht="13.5">
      <c r="B323" s="28"/>
      <c r="C323" s="73"/>
      <c r="D323" s="73"/>
      <c r="E323" s="74"/>
      <c r="F323" s="74"/>
      <c r="G323" s="74"/>
      <c r="H323" s="74"/>
      <c r="I323" s="74"/>
      <c r="J323" s="75"/>
      <c r="K323" s="29"/>
      <c r="L323" s="32"/>
      <c r="M323" s="33"/>
    </row>
    <row r="324" spans="2:13" ht="16.5">
      <c r="B324" s="40"/>
      <c r="C324" s="90" t="s">
        <v>5</v>
      </c>
      <c r="D324" s="90"/>
      <c r="E324" s="41"/>
      <c r="F324" s="42"/>
      <c r="G324" s="42"/>
      <c r="H324" s="42" t="s">
        <v>28</v>
      </c>
      <c r="I324" s="43"/>
      <c r="J324" s="91" t="s">
        <v>29</v>
      </c>
      <c r="K324" s="91"/>
      <c r="L324" s="91"/>
      <c r="M324" s="44"/>
    </row>
    <row r="325" spans="2:13" ht="16.5">
      <c r="B325" s="40"/>
      <c r="C325" s="45"/>
      <c r="D325" s="86"/>
      <c r="E325" s="41"/>
      <c r="F325" s="42"/>
      <c r="G325" s="42"/>
      <c r="H325" s="46"/>
      <c r="I325" s="43"/>
      <c r="J325" s="47"/>
      <c r="K325" s="47"/>
      <c r="L325" s="48"/>
      <c r="M325" s="44"/>
    </row>
    <row r="326" spans="2:13" ht="16.5">
      <c r="B326" s="49"/>
      <c r="C326" s="90" t="s">
        <v>30</v>
      </c>
      <c r="D326" s="90"/>
      <c r="E326" s="41"/>
      <c r="F326" s="42"/>
      <c r="G326" s="42"/>
      <c r="H326" s="42" t="s">
        <v>38</v>
      </c>
      <c r="I326" s="43"/>
      <c r="J326" s="91" t="s">
        <v>39</v>
      </c>
      <c r="K326" s="91"/>
      <c r="L326" s="91"/>
      <c r="M326" s="20"/>
    </row>
    <row r="327" spans="2:13" ht="16.5">
      <c r="B327" s="49"/>
      <c r="C327" s="92" t="s">
        <v>40</v>
      </c>
      <c r="D327" s="93"/>
      <c r="E327" s="41"/>
      <c r="F327" s="50"/>
      <c r="G327" s="50"/>
      <c r="H327" s="50" t="s">
        <v>36</v>
      </c>
      <c r="I327" s="43"/>
      <c r="J327" s="94" t="s">
        <v>37</v>
      </c>
      <c r="K327" s="94"/>
      <c r="L327" s="94"/>
      <c r="M327" s="27"/>
    </row>
    <row r="328" spans="2:13" ht="15.75">
      <c r="B328" s="58" t="s">
        <v>34</v>
      </c>
      <c r="C328" s="51"/>
      <c r="D328" s="51"/>
      <c r="E328" s="51"/>
      <c r="F328" s="52"/>
      <c r="G328" s="52"/>
      <c r="H328" s="30"/>
      <c r="I328" s="51"/>
      <c r="J328" s="52"/>
      <c r="K328" s="51"/>
      <c r="L328" s="51"/>
      <c r="M328" s="27"/>
    </row>
    <row r="366" ht="12.75"/>
    <row r="367" ht="12.75"/>
    <row r="368" ht="12.75"/>
    <row r="422" ht="12.75"/>
    <row r="423" ht="12.75"/>
    <row r="424" ht="12.75"/>
    <row r="425" ht="12.75"/>
  </sheetData>
  <sheetProtection/>
  <mergeCells count="174">
    <mergeCell ref="C326:D326"/>
    <mergeCell ref="J326:L326"/>
    <mergeCell ref="C327:D327"/>
    <mergeCell ref="J327:L327"/>
    <mergeCell ref="C321:D321"/>
    <mergeCell ref="E321:H321"/>
    <mergeCell ref="C322:D322"/>
    <mergeCell ref="E322:H322"/>
    <mergeCell ref="C324:D324"/>
    <mergeCell ref="J324:L324"/>
    <mergeCell ref="I281:I282"/>
    <mergeCell ref="J281:J282"/>
    <mergeCell ref="K281:K282"/>
    <mergeCell ref="L281:L282"/>
    <mergeCell ref="D319:J319"/>
    <mergeCell ref="C320:D320"/>
    <mergeCell ref="E320:H320"/>
    <mergeCell ref="B281:B282"/>
    <mergeCell ref="C281:C282"/>
    <mergeCell ref="D281:D282"/>
    <mergeCell ref="E281:E282"/>
    <mergeCell ref="F281:F282"/>
    <mergeCell ref="H281:H282"/>
    <mergeCell ref="B274:M274"/>
    <mergeCell ref="B276:M276"/>
    <mergeCell ref="B277:M277"/>
    <mergeCell ref="B278:M278"/>
    <mergeCell ref="D280:H280"/>
    <mergeCell ref="I280:L280"/>
    <mergeCell ref="C161:D161"/>
    <mergeCell ref="J161:L161"/>
    <mergeCell ref="C162:D162"/>
    <mergeCell ref="J162:L162"/>
    <mergeCell ref="C156:D156"/>
    <mergeCell ref="E156:H156"/>
    <mergeCell ref="C157:D157"/>
    <mergeCell ref="E157:H157"/>
    <mergeCell ref="C159:D159"/>
    <mergeCell ref="J159:L159"/>
    <mergeCell ref="I116:I117"/>
    <mergeCell ref="J116:J117"/>
    <mergeCell ref="K116:K117"/>
    <mergeCell ref="L116:L117"/>
    <mergeCell ref="D154:J154"/>
    <mergeCell ref="C155:D155"/>
    <mergeCell ref="E155:H155"/>
    <mergeCell ref="B116:B117"/>
    <mergeCell ref="C116:C117"/>
    <mergeCell ref="D116:D117"/>
    <mergeCell ref="E116:E117"/>
    <mergeCell ref="F116:F117"/>
    <mergeCell ref="H116:H117"/>
    <mergeCell ref="B109:M109"/>
    <mergeCell ref="B111:M111"/>
    <mergeCell ref="B112:M112"/>
    <mergeCell ref="B113:M113"/>
    <mergeCell ref="D115:H115"/>
    <mergeCell ref="I115:L115"/>
    <mergeCell ref="C106:D106"/>
    <mergeCell ref="J106:L106"/>
    <mergeCell ref="C107:D107"/>
    <mergeCell ref="J107:L107"/>
    <mergeCell ref="C102:D102"/>
    <mergeCell ref="E102:H102"/>
    <mergeCell ref="C103:D103"/>
    <mergeCell ref="E103:H103"/>
    <mergeCell ref="C104:D104"/>
    <mergeCell ref="J104:L104"/>
    <mergeCell ref="I63:I64"/>
    <mergeCell ref="J63:J64"/>
    <mergeCell ref="K63:K64"/>
    <mergeCell ref="L63:L64"/>
    <mergeCell ref="D100:J100"/>
    <mergeCell ref="C101:D101"/>
    <mergeCell ref="E101:H101"/>
    <mergeCell ref="B63:B64"/>
    <mergeCell ref="C63:C64"/>
    <mergeCell ref="D63:D64"/>
    <mergeCell ref="E63:E64"/>
    <mergeCell ref="F63:F64"/>
    <mergeCell ref="H63:H64"/>
    <mergeCell ref="B56:M56"/>
    <mergeCell ref="B58:M58"/>
    <mergeCell ref="B59:M59"/>
    <mergeCell ref="B60:M60"/>
    <mergeCell ref="D62:H62"/>
    <mergeCell ref="I62:L62"/>
    <mergeCell ref="C53:D53"/>
    <mergeCell ref="J53:L53"/>
    <mergeCell ref="C54:D54"/>
    <mergeCell ref="J54:L54"/>
    <mergeCell ref="C48:D48"/>
    <mergeCell ref="E48:H48"/>
    <mergeCell ref="C49:D49"/>
    <mergeCell ref="E49:H49"/>
    <mergeCell ref="C51:D51"/>
    <mergeCell ref="J51:L51"/>
    <mergeCell ref="I9:I10"/>
    <mergeCell ref="J9:J10"/>
    <mergeCell ref="K9:K10"/>
    <mergeCell ref="L9:L10"/>
    <mergeCell ref="D46:J46"/>
    <mergeCell ref="C47:D47"/>
    <mergeCell ref="E47:H47"/>
    <mergeCell ref="B9:B10"/>
    <mergeCell ref="C9:C10"/>
    <mergeCell ref="D9:D10"/>
    <mergeCell ref="E9:E10"/>
    <mergeCell ref="F9:F10"/>
    <mergeCell ref="H9:H10"/>
    <mergeCell ref="B4:M4"/>
    <mergeCell ref="B5:M5"/>
    <mergeCell ref="D8:H8"/>
    <mergeCell ref="I8:L8"/>
    <mergeCell ref="B1:M1"/>
    <mergeCell ref="B3:M3"/>
    <mergeCell ref="B164:M164"/>
    <mergeCell ref="B166:M166"/>
    <mergeCell ref="B167:M167"/>
    <mergeCell ref="B168:M168"/>
    <mergeCell ref="D170:H170"/>
    <mergeCell ref="I170:L170"/>
    <mergeCell ref="B171:B172"/>
    <mergeCell ref="C171:C172"/>
    <mergeCell ref="D171:D172"/>
    <mergeCell ref="E171:E172"/>
    <mergeCell ref="F171:F172"/>
    <mergeCell ref="H171:H172"/>
    <mergeCell ref="I171:I172"/>
    <mergeCell ref="J171:J172"/>
    <mergeCell ref="K171:K172"/>
    <mergeCell ref="L171:L172"/>
    <mergeCell ref="D209:J209"/>
    <mergeCell ref="C210:D210"/>
    <mergeCell ref="E210:H210"/>
    <mergeCell ref="C216:D216"/>
    <mergeCell ref="J216:L216"/>
    <mergeCell ref="C217:D217"/>
    <mergeCell ref="J217:L217"/>
    <mergeCell ref="C211:D211"/>
    <mergeCell ref="E211:H211"/>
    <mergeCell ref="C212:D212"/>
    <mergeCell ref="E212:H212"/>
    <mergeCell ref="C214:D214"/>
    <mergeCell ref="J214:L214"/>
    <mergeCell ref="B219:M219"/>
    <mergeCell ref="B221:M221"/>
    <mergeCell ref="B222:M222"/>
    <mergeCell ref="B223:M223"/>
    <mergeCell ref="D225:H225"/>
    <mergeCell ref="I225:L225"/>
    <mergeCell ref="B226:B227"/>
    <mergeCell ref="C226:C227"/>
    <mergeCell ref="D226:D227"/>
    <mergeCell ref="E226:E227"/>
    <mergeCell ref="F226:F227"/>
    <mergeCell ref="H226:H227"/>
    <mergeCell ref="I226:I227"/>
    <mergeCell ref="J226:J227"/>
    <mergeCell ref="K226:K227"/>
    <mergeCell ref="L226:L227"/>
    <mergeCell ref="D264:J264"/>
    <mergeCell ref="C265:D265"/>
    <mergeCell ref="E265:H265"/>
    <mergeCell ref="C271:D271"/>
    <mergeCell ref="J271:L271"/>
    <mergeCell ref="C272:D272"/>
    <mergeCell ref="J272:L272"/>
    <mergeCell ref="C266:D266"/>
    <mergeCell ref="E266:H266"/>
    <mergeCell ref="C267:D267"/>
    <mergeCell ref="E267:H267"/>
    <mergeCell ref="C269:D269"/>
    <mergeCell ref="J269:L269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70" r:id="rId4"/>
  <headerFooter alignWithMargins="0">
    <oddFooter>&amp;R</oddFooter>
  </headerFooter>
  <rowBreaks count="3" manualBreakCount="3">
    <brk id="55" max="12" man="1"/>
    <brk id="108" max="12" man="1"/>
    <brk id="273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2022-01-09T02:30:33Z</cp:lastPrinted>
  <dcterms:created xsi:type="dcterms:W3CDTF">2003-11-28T15:16:07Z</dcterms:created>
  <dcterms:modified xsi:type="dcterms:W3CDTF">2022-01-09T02:44:18Z</dcterms:modified>
  <cp:category/>
  <cp:version/>
  <cp:contentType/>
  <cp:contentStatus/>
</cp:coreProperties>
</file>